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0"/>
  <workbookPr/>
  <xr:revisionPtr revIDLastSave="0" documentId="8_{E8072597-B0EB-CC40-AEC3-B7DA7E77AB14}" xr6:coauthVersionLast="47" xr6:coauthVersionMax="47" xr10:uidLastSave="{00000000-0000-0000-0000-000000000000}"/>
  <bookViews>
    <workbookView xWindow="4680" yWindow="500" windowWidth="33720" windowHeight="19440" xr2:uid="{00000000-000D-0000-FFFF-FFFF00000000}"/>
  </bookViews>
  <sheets>
    <sheet name="사용안내" sheetId="1" r:id="rId1"/>
    <sheet name="상품·기준" sheetId="2" r:id="rId2"/>
    <sheet name="입출고기록" sheetId="3" r:id="rId3"/>
    <sheet name="재고점검" sheetId="4" r:id="rId4"/>
    <sheet name="판매속도" sheetId="5" r:id="rId5"/>
    <sheet name="입고예정" sheetId="6" r:id="rId6"/>
    <sheet name="주문비교" sheetId="7" r:id="rId7"/>
    <sheet name="장기재고" sheetId="8" r:id="rId8"/>
    <sheet name="실행기록" sheetId="9" r:id="rId9"/>
    <sheet name="작성완료예시"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6" i="9" l="1"/>
  <c r="O25" i="9"/>
  <c r="O24" i="9"/>
  <c r="O23" i="9"/>
  <c r="O22" i="9"/>
  <c r="O21" i="9"/>
  <c r="O20" i="9"/>
  <c r="O19" i="9"/>
  <c r="O18" i="9"/>
  <c r="O17" i="9"/>
  <c r="O16" i="9"/>
  <c r="O15" i="9"/>
  <c r="H32" i="8"/>
  <c r="G32" i="8"/>
  <c r="E32" i="8"/>
  <c r="H31" i="8"/>
  <c r="G31" i="8"/>
  <c r="E31" i="8"/>
  <c r="H30" i="8"/>
  <c r="G30" i="8"/>
  <c r="E30" i="8"/>
  <c r="H29" i="8"/>
  <c r="G29" i="8"/>
  <c r="E29" i="8"/>
  <c r="H28" i="8"/>
  <c r="G28" i="8"/>
  <c r="E28" i="8"/>
  <c r="C24" i="8"/>
  <c r="C43" i="8" s="1"/>
  <c r="C23" i="8"/>
  <c r="C21" i="8"/>
  <c r="C22" i="8" s="1"/>
  <c r="C18" i="8"/>
  <c r="C9" i="8"/>
  <c r="C19" i="8" s="1"/>
  <c r="C20" i="8" s="1"/>
  <c r="E28" i="7"/>
  <c r="D28" i="7"/>
  <c r="C28" i="7"/>
  <c r="E26" i="7"/>
  <c r="D26" i="7"/>
  <c r="C26" i="7"/>
  <c r="E25" i="7"/>
  <c r="D25" i="7"/>
  <c r="C25" i="7"/>
  <c r="C16" i="7"/>
  <c r="C15" i="7"/>
  <c r="C11" i="7"/>
  <c r="C18" i="7" s="1"/>
  <c r="C9" i="7"/>
  <c r="C7" i="7"/>
  <c r="C46" i="6"/>
  <c r="C31" i="6"/>
  <c r="C28" i="6"/>
  <c r="N16" i="6"/>
  <c r="M16" i="6"/>
  <c r="L16" i="6"/>
  <c r="K16" i="6"/>
  <c r="N15" i="6"/>
  <c r="M15" i="6"/>
  <c r="L15" i="6"/>
  <c r="K15" i="6"/>
  <c r="N14" i="6"/>
  <c r="M14" i="6"/>
  <c r="L14" i="6"/>
  <c r="K14" i="6"/>
  <c r="N13" i="6"/>
  <c r="M13" i="6"/>
  <c r="L13" i="6"/>
  <c r="K13" i="6"/>
  <c r="N12" i="6"/>
  <c r="M12" i="6"/>
  <c r="L12" i="6"/>
  <c r="K12" i="6"/>
  <c r="N11" i="6"/>
  <c r="M11" i="6"/>
  <c r="L11" i="6"/>
  <c r="K11" i="6"/>
  <c r="N10" i="6"/>
  <c r="M10" i="6"/>
  <c r="L10" i="6"/>
  <c r="K10" i="6"/>
  <c r="N9" i="6"/>
  <c r="M9" i="6"/>
  <c r="L9" i="6"/>
  <c r="K9" i="6"/>
  <c r="N8" i="6"/>
  <c r="M8" i="6"/>
  <c r="L8" i="6"/>
  <c r="K8" i="6"/>
  <c r="N7" i="6"/>
  <c r="M7" i="6"/>
  <c r="L7" i="6"/>
  <c r="K7" i="6"/>
  <c r="C20" i="6" s="1"/>
  <c r="A21" i="5"/>
  <c r="D16" i="5"/>
  <c r="C16" i="5"/>
  <c r="B16" i="5"/>
  <c r="A16" i="5"/>
  <c r="D15" i="5"/>
  <c r="C15" i="5"/>
  <c r="B15" i="5"/>
  <c r="A15" i="5"/>
  <c r="D14" i="5"/>
  <c r="C14" i="5"/>
  <c r="B14" i="5"/>
  <c r="A14" i="5"/>
  <c r="D13" i="5"/>
  <c r="C13" i="5"/>
  <c r="B13" i="5"/>
  <c r="A13" i="5"/>
  <c r="L9" i="5"/>
  <c r="E9" i="5"/>
  <c r="L8" i="5"/>
  <c r="E8" i="5"/>
  <c r="L7" i="5"/>
  <c r="E7" i="5"/>
  <c r="L6" i="5"/>
  <c r="E6" i="5"/>
  <c r="E107" i="4"/>
  <c r="D106" i="4"/>
  <c r="D85" i="4"/>
  <c r="C99" i="4" s="1"/>
  <c r="B70" i="4"/>
  <c r="F68" i="4"/>
  <c r="G68" i="4" s="1"/>
  <c r="F67" i="4"/>
  <c r="G67" i="4" s="1"/>
  <c r="F66" i="4"/>
  <c r="G66" i="4" s="1"/>
  <c r="F65" i="4"/>
  <c r="G65" i="4" s="1"/>
  <c r="F64" i="4"/>
  <c r="G64" i="4" s="1"/>
  <c r="F63" i="4"/>
  <c r="C59" i="4"/>
  <c r="C58" i="4"/>
  <c r="C57" i="4"/>
  <c r="C56" i="4"/>
  <c r="C55" i="4"/>
  <c r="C54" i="4"/>
  <c r="C53" i="4"/>
  <c r="C52" i="4"/>
  <c r="B46" i="4"/>
  <c r="B78" i="4" s="1"/>
  <c r="D41" i="4"/>
  <c r="E26" i="4"/>
  <c r="C26" i="4"/>
  <c r="E25" i="4"/>
  <c r="C25" i="4"/>
  <c r="E24" i="4"/>
  <c r="D24" i="4" s="1"/>
  <c r="C24" i="4"/>
  <c r="E23" i="4"/>
  <c r="D23" i="4" s="1"/>
  <c r="C23" i="4"/>
  <c r="E22" i="4"/>
  <c r="D22" i="4" s="1"/>
  <c r="C22" i="4"/>
  <c r="E21" i="4"/>
  <c r="C21" i="4"/>
  <c r="C27" i="4" s="1"/>
  <c r="F17" i="4"/>
  <c r="F16" i="4"/>
  <c r="B49" i="4" s="1"/>
  <c r="B80" i="4" s="1"/>
  <c r="F15" i="4"/>
  <c r="B48" i="4" s="1"/>
  <c r="B79" i="4" s="1"/>
  <c r="F14" i="4"/>
  <c r="B45" i="4" s="1"/>
  <c r="B47" i="4" s="1"/>
  <c r="H13" i="4"/>
  <c r="E13" i="4"/>
  <c r="H12" i="4"/>
  <c r="E12" i="4"/>
  <c r="H11" i="4"/>
  <c r="E11" i="4"/>
  <c r="H10" i="4"/>
  <c r="E10" i="4"/>
  <c r="H9" i="4"/>
  <c r="E9" i="4"/>
  <c r="H8" i="4"/>
  <c r="E8" i="4"/>
  <c r="H7" i="4"/>
  <c r="E7" i="4"/>
  <c r="H6" i="4"/>
  <c r="E6" i="4"/>
  <c r="M306" i="3"/>
  <c r="N306" i="3" s="1"/>
  <c r="K306" i="3"/>
  <c r="L306" i="3" s="1"/>
  <c r="M305" i="3"/>
  <c r="N305" i="3" s="1"/>
  <c r="K305" i="3"/>
  <c r="L305" i="3" s="1"/>
  <c r="M304" i="3"/>
  <c r="N304" i="3" s="1"/>
  <c r="K304" i="3"/>
  <c r="L304" i="3" s="1"/>
  <c r="M303" i="3"/>
  <c r="N303" i="3" s="1"/>
  <c r="K303" i="3"/>
  <c r="L303" i="3" s="1"/>
  <c r="M302" i="3"/>
  <c r="N302" i="3" s="1"/>
  <c r="K302" i="3"/>
  <c r="L302" i="3" s="1"/>
  <c r="M301" i="3"/>
  <c r="N301" i="3" s="1"/>
  <c r="K301" i="3"/>
  <c r="L301" i="3" s="1"/>
  <c r="M300" i="3"/>
  <c r="N300" i="3" s="1"/>
  <c r="K300" i="3"/>
  <c r="L300" i="3" s="1"/>
  <c r="M299" i="3"/>
  <c r="N299" i="3" s="1"/>
  <c r="K299" i="3"/>
  <c r="L299" i="3" s="1"/>
  <c r="M298" i="3"/>
  <c r="N298" i="3" s="1"/>
  <c r="K298" i="3"/>
  <c r="L298" i="3" s="1"/>
  <c r="M297" i="3"/>
  <c r="N297" i="3" s="1"/>
  <c r="K297" i="3"/>
  <c r="L297" i="3" s="1"/>
  <c r="M296" i="3"/>
  <c r="N296" i="3" s="1"/>
  <c r="K296" i="3"/>
  <c r="L296" i="3" s="1"/>
  <c r="M295" i="3"/>
  <c r="N295" i="3" s="1"/>
  <c r="K295" i="3"/>
  <c r="L295" i="3" s="1"/>
  <c r="M294" i="3"/>
  <c r="N294" i="3" s="1"/>
  <c r="K294" i="3"/>
  <c r="L294" i="3" s="1"/>
  <c r="M293" i="3"/>
  <c r="N293" i="3" s="1"/>
  <c r="K293" i="3"/>
  <c r="L293" i="3" s="1"/>
  <c r="M292" i="3"/>
  <c r="N292" i="3" s="1"/>
  <c r="K292" i="3"/>
  <c r="L292" i="3" s="1"/>
  <c r="M291" i="3"/>
  <c r="N291" i="3" s="1"/>
  <c r="K291" i="3"/>
  <c r="L291" i="3" s="1"/>
  <c r="M290" i="3"/>
  <c r="N290" i="3" s="1"/>
  <c r="K290" i="3"/>
  <c r="L290" i="3" s="1"/>
  <c r="M289" i="3"/>
  <c r="N289" i="3" s="1"/>
  <c r="K289" i="3"/>
  <c r="L289" i="3" s="1"/>
  <c r="M288" i="3"/>
  <c r="N288" i="3" s="1"/>
  <c r="K288" i="3"/>
  <c r="L288" i="3" s="1"/>
  <c r="M287" i="3"/>
  <c r="N287" i="3" s="1"/>
  <c r="K287" i="3"/>
  <c r="L287" i="3" s="1"/>
  <c r="M286" i="3"/>
  <c r="N286" i="3" s="1"/>
  <c r="K286" i="3"/>
  <c r="L286" i="3" s="1"/>
  <c r="M285" i="3"/>
  <c r="N285" i="3" s="1"/>
  <c r="K285" i="3"/>
  <c r="L285" i="3" s="1"/>
  <c r="M284" i="3"/>
  <c r="N284" i="3" s="1"/>
  <c r="K284" i="3"/>
  <c r="L284" i="3" s="1"/>
  <c r="M283" i="3"/>
  <c r="N283" i="3" s="1"/>
  <c r="K283" i="3"/>
  <c r="L283" i="3" s="1"/>
  <c r="M282" i="3"/>
  <c r="N282" i="3" s="1"/>
  <c r="K282" i="3"/>
  <c r="L282" i="3" s="1"/>
  <c r="M281" i="3"/>
  <c r="N281" i="3" s="1"/>
  <c r="K281" i="3"/>
  <c r="L281" i="3" s="1"/>
  <c r="M280" i="3"/>
  <c r="N280" i="3" s="1"/>
  <c r="K280" i="3"/>
  <c r="L280" i="3" s="1"/>
  <c r="M279" i="3"/>
  <c r="N279" i="3" s="1"/>
  <c r="K279" i="3"/>
  <c r="L279" i="3" s="1"/>
  <c r="M278" i="3"/>
  <c r="N278" i="3" s="1"/>
  <c r="K278" i="3"/>
  <c r="L278" i="3" s="1"/>
  <c r="M277" i="3"/>
  <c r="N277" i="3" s="1"/>
  <c r="K277" i="3"/>
  <c r="L277" i="3" s="1"/>
  <c r="M276" i="3"/>
  <c r="N276" i="3" s="1"/>
  <c r="K276" i="3"/>
  <c r="L276" i="3" s="1"/>
  <c r="M275" i="3"/>
  <c r="N275" i="3" s="1"/>
  <c r="K275" i="3"/>
  <c r="L275" i="3" s="1"/>
  <c r="M274" i="3"/>
  <c r="N274" i="3" s="1"/>
  <c r="K274" i="3"/>
  <c r="L274" i="3" s="1"/>
  <c r="M273" i="3"/>
  <c r="N273" i="3" s="1"/>
  <c r="K273" i="3"/>
  <c r="L273" i="3" s="1"/>
  <c r="M272" i="3"/>
  <c r="N272" i="3" s="1"/>
  <c r="K272" i="3"/>
  <c r="L272" i="3" s="1"/>
  <c r="M271" i="3"/>
  <c r="N271" i="3" s="1"/>
  <c r="K271" i="3"/>
  <c r="L271" i="3" s="1"/>
  <c r="M270" i="3"/>
  <c r="N270" i="3" s="1"/>
  <c r="K270" i="3"/>
  <c r="L270" i="3" s="1"/>
  <c r="M269" i="3"/>
  <c r="N269" i="3" s="1"/>
  <c r="K269" i="3"/>
  <c r="L269" i="3" s="1"/>
  <c r="M268" i="3"/>
  <c r="N268" i="3" s="1"/>
  <c r="K268" i="3"/>
  <c r="L268" i="3" s="1"/>
  <c r="M267" i="3"/>
  <c r="N267" i="3" s="1"/>
  <c r="K267" i="3"/>
  <c r="L267" i="3" s="1"/>
  <c r="M266" i="3"/>
  <c r="N266" i="3" s="1"/>
  <c r="K266" i="3"/>
  <c r="L266" i="3" s="1"/>
  <c r="M265" i="3"/>
  <c r="N265" i="3" s="1"/>
  <c r="K265" i="3"/>
  <c r="L265" i="3" s="1"/>
  <c r="M264" i="3"/>
  <c r="N264" i="3" s="1"/>
  <c r="K264" i="3"/>
  <c r="L264" i="3" s="1"/>
  <c r="M263" i="3"/>
  <c r="N263" i="3" s="1"/>
  <c r="K263" i="3"/>
  <c r="L263" i="3" s="1"/>
  <c r="M262" i="3"/>
  <c r="N262" i="3" s="1"/>
  <c r="K262" i="3"/>
  <c r="L262" i="3" s="1"/>
  <c r="M261" i="3"/>
  <c r="N261" i="3" s="1"/>
  <c r="K261" i="3"/>
  <c r="L261" i="3" s="1"/>
  <c r="M260" i="3"/>
  <c r="N260" i="3" s="1"/>
  <c r="K260" i="3"/>
  <c r="L260" i="3" s="1"/>
  <c r="M259" i="3"/>
  <c r="N259" i="3" s="1"/>
  <c r="K259" i="3"/>
  <c r="L259" i="3" s="1"/>
  <c r="M258" i="3"/>
  <c r="N258" i="3" s="1"/>
  <c r="K258" i="3"/>
  <c r="L258" i="3" s="1"/>
  <c r="M257" i="3"/>
  <c r="N257" i="3" s="1"/>
  <c r="K257" i="3"/>
  <c r="L257" i="3" s="1"/>
  <c r="M256" i="3"/>
  <c r="N256" i="3" s="1"/>
  <c r="K256" i="3"/>
  <c r="L256" i="3" s="1"/>
  <c r="M255" i="3"/>
  <c r="N255" i="3" s="1"/>
  <c r="K255" i="3"/>
  <c r="L255" i="3" s="1"/>
  <c r="M254" i="3"/>
  <c r="N254" i="3" s="1"/>
  <c r="K254" i="3"/>
  <c r="L254" i="3" s="1"/>
  <c r="M253" i="3"/>
  <c r="N253" i="3" s="1"/>
  <c r="K253" i="3"/>
  <c r="L253" i="3" s="1"/>
  <c r="M252" i="3"/>
  <c r="N252" i="3" s="1"/>
  <c r="K252" i="3"/>
  <c r="L252" i="3" s="1"/>
  <c r="M251" i="3"/>
  <c r="N251" i="3" s="1"/>
  <c r="K251" i="3"/>
  <c r="L251" i="3" s="1"/>
  <c r="M250" i="3"/>
  <c r="N250" i="3" s="1"/>
  <c r="K250" i="3"/>
  <c r="L250" i="3" s="1"/>
  <c r="M249" i="3"/>
  <c r="N249" i="3" s="1"/>
  <c r="K249" i="3"/>
  <c r="L249" i="3" s="1"/>
  <c r="M248" i="3"/>
  <c r="N248" i="3" s="1"/>
  <c r="K248" i="3"/>
  <c r="L248" i="3" s="1"/>
  <c r="M247" i="3"/>
  <c r="N247" i="3" s="1"/>
  <c r="K247" i="3"/>
  <c r="L247" i="3" s="1"/>
  <c r="M246" i="3"/>
  <c r="N246" i="3" s="1"/>
  <c r="K246" i="3"/>
  <c r="L246" i="3" s="1"/>
  <c r="M245" i="3"/>
  <c r="N245" i="3" s="1"/>
  <c r="K245" i="3"/>
  <c r="L245" i="3" s="1"/>
  <c r="M244" i="3"/>
  <c r="N244" i="3" s="1"/>
  <c r="K244" i="3"/>
  <c r="L244" i="3" s="1"/>
  <c r="M243" i="3"/>
  <c r="N243" i="3" s="1"/>
  <c r="K243" i="3"/>
  <c r="L243" i="3" s="1"/>
  <c r="M242" i="3"/>
  <c r="N242" i="3" s="1"/>
  <c r="K242" i="3"/>
  <c r="L242" i="3" s="1"/>
  <c r="M241" i="3"/>
  <c r="N241" i="3" s="1"/>
  <c r="K241" i="3"/>
  <c r="L241" i="3" s="1"/>
  <c r="M240" i="3"/>
  <c r="N240" i="3" s="1"/>
  <c r="K240" i="3"/>
  <c r="L240" i="3" s="1"/>
  <c r="M239" i="3"/>
  <c r="N239" i="3" s="1"/>
  <c r="K239" i="3"/>
  <c r="L239" i="3" s="1"/>
  <c r="M238" i="3"/>
  <c r="N238" i="3" s="1"/>
  <c r="K238" i="3"/>
  <c r="L238" i="3" s="1"/>
  <c r="M237" i="3"/>
  <c r="N237" i="3" s="1"/>
  <c r="K237" i="3"/>
  <c r="L237" i="3" s="1"/>
  <c r="M236" i="3"/>
  <c r="N236" i="3" s="1"/>
  <c r="K236" i="3"/>
  <c r="L236" i="3" s="1"/>
  <c r="M235" i="3"/>
  <c r="N235" i="3" s="1"/>
  <c r="K235" i="3"/>
  <c r="L235" i="3" s="1"/>
  <c r="M234" i="3"/>
  <c r="N234" i="3" s="1"/>
  <c r="K234" i="3"/>
  <c r="L234" i="3" s="1"/>
  <c r="M233" i="3"/>
  <c r="N233" i="3" s="1"/>
  <c r="K233" i="3"/>
  <c r="L233" i="3" s="1"/>
  <c r="M232" i="3"/>
  <c r="N232" i="3" s="1"/>
  <c r="K232" i="3"/>
  <c r="L232" i="3" s="1"/>
  <c r="M231" i="3"/>
  <c r="N231" i="3" s="1"/>
  <c r="K231" i="3"/>
  <c r="L231" i="3" s="1"/>
  <c r="M230" i="3"/>
  <c r="N230" i="3" s="1"/>
  <c r="K230" i="3"/>
  <c r="L230" i="3" s="1"/>
  <c r="M229" i="3"/>
  <c r="N229" i="3" s="1"/>
  <c r="K229" i="3"/>
  <c r="L229" i="3" s="1"/>
  <c r="M228" i="3"/>
  <c r="N228" i="3" s="1"/>
  <c r="K228" i="3"/>
  <c r="L228" i="3" s="1"/>
  <c r="M227" i="3"/>
  <c r="N227" i="3" s="1"/>
  <c r="K227" i="3"/>
  <c r="L227" i="3" s="1"/>
  <c r="M226" i="3"/>
  <c r="N226" i="3" s="1"/>
  <c r="K226" i="3"/>
  <c r="L226" i="3" s="1"/>
  <c r="M225" i="3"/>
  <c r="N225" i="3" s="1"/>
  <c r="K225" i="3"/>
  <c r="L225" i="3" s="1"/>
  <c r="M224" i="3"/>
  <c r="N224" i="3" s="1"/>
  <c r="K224" i="3"/>
  <c r="L224" i="3" s="1"/>
  <c r="M223" i="3"/>
  <c r="N223" i="3" s="1"/>
  <c r="K223" i="3"/>
  <c r="L223" i="3" s="1"/>
  <c r="M222" i="3"/>
  <c r="N222" i="3" s="1"/>
  <c r="K222" i="3"/>
  <c r="L222" i="3" s="1"/>
  <c r="M221" i="3"/>
  <c r="N221" i="3" s="1"/>
  <c r="K221" i="3"/>
  <c r="L221" i="3" s="1"/>
  <c r="M220" i="3"/>
  <c r="N220" i="3" s="1"/>
  <c r="K220" i="3"/>
  <c r="L220" i="3" s="1"/>
  <c r="M219" i="3"/>
  <c r="N219" i="3" s="1"/>
  <c r="K219" i="3"/>
  <c r="L219" i="3" s="1"/>
  <c r="M218" i="3"/>
  <c r="N218" i="3" s="1"/>
  <c r="K218" i="3"/>
  <c r="L218" i="3" s="1"/>
  <c r="M217" i="3"/>
  <c r="N217" i="3" s="1"/>
  <c r="K217" i="3"/>
  <c r="L217" i="3" s="1"/>
  <c r="M216" i="3"/>
  <c r="N216" i="3" s="1"/>
  <c r="K216" i="3"/>
  <c r="L216" i="3" s="1"/>
  <c r="M215" i="3"/>
  <c r="N215" i="3" s="1"/>
  <c r="K215" i="3"/>
  <c r="L215" i="3" s="1"/>
  <c r="M214" i="3"/>
  <c r="N214" i="3" s="1"/>
  <c r="K214" i="3"/>
  <c r="L214" i="3" s="1"/>
  <c r="M213" i="3"/>
  <c r="N213" i="3" s="1"/>
  <c r="K213" i="3"/>
  <c r="L213" i="3" s="1"/>
  <c r="M212" i="3"/>
  <c r="N212" i="3" s="1"/>
  <c r="K212" i="3"/>
  <c r="L212" i="3" s="1"/>
  <c r="M211" i="3"/>
  <c r="N211" i="3" s="1"/>
  <c r="K211" i="3"/>
  <c r="L211" i="3" s="1"/>
  <c r="M210" i="3"/>
  <c r="N210" i="3" s="1"/>
  <c r="K210" i="3"/>
  <c r="L210" i="3" s="1"/>
  <c r="M209" i="3"/>
  <c r="N209" i="3" s="1"/>
  <c r="K209" i="3"/>
  <c r="L209" i="3" s="1"/>
  <c r="M208" i="3"/>
  <c r="N208" i="3" s="1"/>
  <c r="K208" i="3"/>
  <c r="L208" i="3" s="1"/>
  <c r="M207" i="3"/>
  <c r="N207" i="3" s="1"/>
  <c r="K207" i="3"/>
  <c r="L207" i="3" s="1"/>
  <c r="M206" i="3"/>
  <c r="N206" i="3" s="1"/>
  <c r="K206" i="3"/>
  <c r="L206" i="3" s="1"/>
  <c r="M205" i="3"/>
  <c r="N205" i="3" s="1"/>
  <c r="K205" i="3"/>
  <c r="L205" i="3" s="1"/>
  <c r="M204" i="3"/>
  <c r="N204" i="3" s="1"/>
  <c r="K204" i="3"/>
  <c r="L204" i="3" s="1"/>
  <c r="M203" i="3"/>
  <c r="N203" i="3" s="1"/>
  <c r="K203" i="3"/>
  <c r="L203" i="3" s="1"/>
  <c r="M202" i="3"/>
  <c r="N202" i="3" s="1"/>
  <c r="K202" i="3"/>
  <c r="L202" i="3" s="1"/>
  <c r="M201" i="3"/>
  <c r="N201" i="3" s="1"/>
  <c r="K201" i="3"/>
  <c r="L201" i="3" s="1"/>
  <c r="M200" i="3"/>
  <c r="N200" i="3" s="1"/>
  <c r="K200" i="3"/>
  <c r="L200" i="3" s="1"/>
  <c r="M199" i="3"/>
  <c r="N199" i="3" s="1"/>
  <c r="K199" i="3"/>
  <c r="L199" i="3" s="1"/>
  <c r="M198" i="3"/>
  <c r="N198" i="3" s="1"/>
  <c r="K198" i="3"/>
  <c r="L198" i="3" s="1"/>
  <c r="M197" i="3"/>
  <c r="N197" i="3" s="1"/>
  <c r="K197" i="3"/>
  <c r="L197" i="3" s="1"/>
  <c r="M196" i="3"/>
  <c r="N196" i="3" s="1"/>
  <c r="K196" i="3"/>
  <c r="L196" i="3" s="1"/>
  <c r="M195" i="3"/>
  <c r="N195" i="3" s="1"/>
  <c r="K195" i="3"/>
  <c r="L195" i="3" s="1"/>
  <c r="M194" i="3"/>
  <c r="N194" i="3" s="1"/>
  <c r="K194" i="3"/>
  <c r="L194" i="3" s="1"/>
  <c r="M193" i="3"/>
  <c r="N193" i="3" s="1"/>
  <c r="K193" i="3"/>
  <c r="L193" i="3" s="1"/>
  <c r="M192" i="3"/>
  <c r="N192" i="3" s="1"/>
  <c r="K192" i="3"/>
  <c r="L192" i="3" s="1"/>
  <c r="M191" i="3"/>
  <c r="N191" i="3" s="1"/>
  <c r="K191" i="3"/>
  <c r="L191" i="3" s="1"/>
  <c r="M190" i="3"/>
  <c r="N190" i="3" s="1"/>
  <c r="K190" i="3"/>
  <c r="L190" i="3" s="1"/>
  <c r="M189" i="3"/>
  <c r="N189" i="3" s="1"/>
  <c r="K189" i="3"/>
  <c r="L189" i="3" s="1"/>
  <c r="M188" i="3"/>
  <c r="N188" i="3" s="1"/>
  <c r="K188" i="3"/>
  <c r="L188" i="3" s="1"/>
  <c r="M187" i="3"/>
  <c r="N187" i="3" s="1"/>
  <c r="K187" i="3"/>
  <c r="L187" i="3" s="1"/>
  <c r="M186" i="3"/>
  <c r="N186" i="3" s="1"/>
  <c r="K186" i="3"/>
  <c r="L186" i="3" s="1"/>
  <c r="M185" i="3"/>
  <c r="N185" i="3" s="1"/>
  <c r="K185" i="3"/>
  <c r="L185" i="3" s="1"/>
  <c r="M184" i="3"/>
  <c r="N184" i="3" s="1"/>
  <c r="K184" i="3"/>
  <c r="L184" i="3" s="1"/>
  <c r="M183" i="3"/>
  <c r="N183" i="3" s="1"/>
  <c r="K183" i="3"/>
  <c r="L183" i="3" s="1"/>
  <c r="M182" i="3"/>
  <c r="N182" i="3" s="1"/>
  <c r="K182" i="3"/>
  <c r="L182" i="3" s="1"/>
  <c r="M181" i="3"/>
  <c r="N181" i="3" s="1"/>
  <c r="K181" i="3"/>
  <c r="L181" i="3" s="1"/>
  <c r="M180" i="3"/>
  <c r="N180" i="3" s="1"/>
  <c r="K180" i="3"/>
  <c r="L180" i="3" s="1"/>
  <c r="M179" i="3"/>
  <c r="N179" i="3" s="1"/>
  <c r="K179" i="3"/>
  <c r="L179" i="3" s="1"/>
  <c r="M178" i="3"/>
  <c r="N178" i="3" s="1"/>
  <c r="K178" i="3"/>
  <c r="L178" i="3" s="1"/>
  <c r="M177" i="3"/>
  <c r="N177" i="3" s="1"/>
  <c r="K177" i="3"/>
  <c r="L177" i="3" s="1"/>
  <c r="M176" i="3"/>
  <c r="N176" i="3" s="1"/>
  <c r="K176" i="3"/>
  <c r="L176" i="3" s="1"/>
  <c r="M175" i="3"/>
  <c r="N175" i="3" s="1"/>
  <c r="K175" i="3"/>
  <c r="L175" i="3" s="1"/>
  <c r="M174" i="3"/>
  <c r="N174" i="3" s="1"/>
  <c r="K174" i="3"/>
  <c r="L174" i="3" s="1"/>
  <c r="M173" i="3"/>
  <c r="N173" i="3" s="1"/>
  <c r="K173" i="3"/>
  <c r="L173" i="3" s="1"/>
  <c r="M172" i="3"/>
  <c r="N172" i="3" s="1"/>
  <c r="K172" i="3"/>
  <c r="L172" i="3" s="1"/>
  <c r="M171" i="3"/>
  <c r="N171" i="3" s="1"/>
  <c r="K171" i="3"/>
  <c r="L171" i="3" s="1"/>
  <c r="M170" i="3"/>
  <c r="N170" i="3" s="1"/>
  <c r="K170" i="3"/>
  <c r="L170" i="3" s="1"/>
  <c r="M169" i="3"/>
  <c r="N169" i="3" s="1"/>
  <c r="K169" i="3"/>
  <c r="L169" i="3" s="1"/>
  <c r="M168" i="3"/>
  <c r="N168" i="3" s="1"/>
  <c r="K168" i="3"/>
  <c r="L168" i="3" s="1"/>
  <c r="M167" i="3"/>
  <c r="N167" i="3" s="1"/>
  <c r="K167" i="3"/>
  <c r="L167" i="3" s="1"/>
  <c r="M166" i="3"/>
  <c r="N166" i="3" s="1"/>
  <c r="K166" i="3"/>
  <c r="L166" i="3" s="1"/>
  <c r="M165" i="3"/>
  <c r="N165" i="3" s="1"/>
  <c r="K165" i="3"/>
  <c r="L165" i="3" s="1"/>
  <c r="M164" i="3"/>
  <c r="N164" i="3" s="1"/>
  <c r="K164" i="3"/>
  <c r="L164" i="3" s="1"/>
  <c r="M163" i="3"/>
  <c r="N163" i="3" s="1"/>
  <c r="K163" i="3"/>
  <c r="L163" i="3" s="1"/>
  <c r="M162" i="3"/>
  <c r="N162" i="3" s="1"/>
  <c r="K162" i="3"/>
  <c r="L162" i="3" s="1"/>
  <c r="M161" i="3"/>
  <c r="N161" i="3" s="1"/>
  <c r="K161" i="3"/>
  <c r="L161" i="3" s="1"/>
  <c r="M160" i="3"/>
  <c r="N160" i="3" s="1"/>
  <c r="K160" i="3"/>
  <c r="L160" i="3" s="1"/>
  <c r="M159" i="3"/>
  <c r="N159" i="3" s="1"/>
  <c r="K159" i="3"/>
  <c r="L159" i="3" s="1"/>
  <c r="M158" i="3"/>
  <c r="N158" i="3" s="1"/>
  <c r="K158" i="3"/>
  <c r="L158" i="3" s="1"/>
  <c r="M157" i="3"/>
  <c r="N157" i="3" s="1"/>
  <c r="K157" i="3"/>
  <c r="L157" i="3" s="1"/>
  <c r="M156" i="3"/>
  <c r="N156" i="3" s="1"/>
  <c r="K156" i="3"/>
  <c r="L156" i="3" s="1"/>
  <c r="M155" i="3"/>
  <c r="N155" i="3" s="1"/>
  <c r="K155" i="3"/>
  <c r="L155" i="3" s="1"/>
  <c r="M154" i="3"/>
  <c r="N154" i="3" s="1"/>
  <c r="K154" i="3"/>
  <c r="L154" i="3" s="1"/>
  <c r="M153" i="3"/>
  <c r="N153" i="3" s="1"/>
  <c r="K153" i="3"/>
  <c r="L153" i="3" s="1"/>
  <c r="M152" i="3"/>
  <c r="N152" i="3" s="1"/>
  <c r="K152" i="3"/>
  <c r="L152" i="3" s="1"/>
  <c r="M151" i="3"/>
  <c r="N151" i="3" s="1"/>
  <c r="K151" i="3"/>
  <c r="L151" i="3" s="1"/>
  <c r="M150" i="3"/>
  <c r="N150" i="3" s="1"/>
  <c r="K150" i="3"/>
  <c r="L150" i="3" s="1"/>
  <c r="M149" i="3"/>
  <c r="N149" i="3" s="1"/>
  <c r="K149" i="3"/>
  <c r="L149" i="3" s="1"/>
  <c r="M148" i="3"/>
  <c r="N148" i="3" s="1"/>
  <c r="K148" i="3"/>
  <c r="L148" i="3" s="1"/>
  <c r="M147" i="3"/>
  <c r="N147" i="3" s="1"/>
  <c r="K147" i="3"/>
  <c r="L147" i="3" s="1"/>
  <c r="M146" i="3"/>
  <c r="N146" i="3" s="1"/>
  <c r="K146" i="3"/>
  <c r="L146" i="3" s="1"/>
  <c r="M145" i="3"/>
  <c r="N145" i="3" s="1"/>
  <c r="K145" i="3"/>
  <c r="L145" i="3" s="1"/>
  <c r="M144" i="3"/>
  <c r="N144" i="3" s="1"/>
  <c r="K144" i="3"/>
  <c r="L144" i="3" s="1"/>
  <c r="M143" i="3"/>
  <c r="N143" i="3" s="1"/>
  <c r="K143" i="3"/>
  <c r="L143" i="3" s="1"/>
  <c r="M142" i="3"/>
  <c r="N142" i="3" s="1"/>
  <c r="K142" i="3"/>
  <c r="L142" i="3" s="1"/>
  <c r="M141" i="3"/>
  <c r="N141" i="3" s="1"/>
  <c r="K141" i="3"/>
  <c r="L141" i="3" s="1"/>
  <c r="M140" i="3"/>
  <c r="N140" i="3" s="1"/>
  <c r="K140" i="3"/>
  <c r="L140" i="3" s="1"/>
  <c r="M139" i="3"/>
  <c r="N139" i="3" s="1"/>
  <c r="K139" i="3"/>
  <c r="L139" i="3" s="1"/>
  <c r="M138" i="3"/>
  <c r="N138" i="3" s="1"/>
  <c r="K138" i="3"/>
  <c r="L138" i="3" s="1"/>
  <c r="M137" i="3"/>
  <c r="N137" i="3" s="1"/>
  <c r="K137" i="3"/>
  <c r="L137" i="3" s="1"/>
  <c r="M136" i="3"/>
  <c r="N136" i="3" s="1"/>
  <c r="K136" i="3"/>
  <c r="L136" i="3" s="1"/>
  <c r="M135" i="3"/>
  <c r="N135" i="3" s="1"/>
  <c r="K135" i="3"/>
  <c r="L135" i="3" s="1"/>
  <c r="M134" i="3"/>
  <c r="N134" i="3" s="1"/>
  <c r="K134" i="3"/>
  <c r="L134" i="3" s="1"/>
  <c r="M133" i="3"/>
  <c r="N133" i="3" s="1"/>
  <c r="K133" i="3"/>
  <c r="L133" i="3" s="1"/>
  <c r="M132" i="3"/>
  <c r="N132" i="3" s="1"/>
  <c r="K132" i="3"/>
  <c r="L132" i="3" s="1"/>
  <c r="M131" i="3"/>
  <c r="N131" i="3" s="1"/>
  <c r="K131" i="3"/>
  <c r="L131" i="3" s="1"/>
  <c r="M130" i="3"/>
  <c r="N130" i="3" s="1"/>
  <c r="K130" i="3"/>
  <c r="L130" i="3" s="1"/>
  <c r="M129" i="3"/>
  <c r="N129" i="3" s="1"/>
  <c r="K129" i="3"/>
  <c r="L129" i="3" s="1"/>
  <c r="M128" i="3"/>
  <c r="N128" i="3" s="1"/>
  <c r="K128" i="3"/>
  <c r="L128" i="3" s="1"/>
  <c r="M127" i="3"/>
  <c r="N127" i="3" s="1"/>
  <c r="K127" i="3"/>
  <c r="L127" i="3" s="1"/>
  <c r="M126" i="3"/>
  <c r="N126" i="3" s="1"/>
  <c r="K126" i="3"/>
  <c r="L126" i="3" s="1"/>
  <c r="M125" i="3"/>
  <c r="N125" i="3" s="1"/>
  <c r="K125" i="3"/>
  <c r="L125" i="3" s="1"/>
  <c r="M124" i="3"/>
  <c r="N124" i="3" s="1"/>
  <c r="K124" i="3"/>
  <c r="L124" i="3" s="1"/>
  <c r="M123" i="3"/>
  <c r="N123" i="3" s="1"/>
  <c r="K123" i="3"/>
  <c r="L123" i="3" s="1"/>
  <c r="M122" i="3"/>
  <c r="N122" i="3" s="1"/>
  <c r="K122" i="3"/>
  <c r="L122" i="3" s="1"/>
  <c r="M121" i="3"/>
  <c r="N121" i="3" s="1"/>
  <c r="K121" i="3"/>
  <c r="L121" i="3" s="1"/>
  <c r="M120" i="3"/>
  <c r="N120" i="3" s="1"/>
  <c r="K120" i="3"/>
  <c r="L120" i="3" s="1"/>
  <c r="M119" i="3"/>
  <c r="N119" i="3" s="1"/>
  <c r="K119" i="3"/>
  <c r="L119" i="3" s="1"/>
  <c r="M118" i="3"/>
  <c r="N118" i="3" s="1"/>
  <c r="K118" i="3"/>
  <c r="L118" i="3" s="1"/>
  <c r="M117" i="3"/>
  <c r="N117" i="3" s="1"/>
  <c r="K117" i="3"/>
  <c r="L117" i="3" s="1"/>
  <c r="M116" i="3"/>
  <c r="N116" i="3" s="1"/>
  <c r="K116" i="3"/>
  <c r="L116" i="3" s="1"/>
  <c r="M115" i="3"/>
  <c r="N115" i="3" s="1"/>
  <c r="K115" i="3"/>
  <c r="L115" i="3" s="1"/>
  <c r="M114" i="3"/>
  <c r="N114" i="3" s="1"/>
  <c r="K114" i="3"/>
  <c r="L114" i="3" s="1"/>
  <c r="M113" i="3"/>
  <c r="N113" i="3" s="1"/>
  <c r="K113" i="3"/>
  <c r="L113" i="3" s="1"/>
  <c r="M112" i="3"/>
  <c r="N112" i="3" s="1"/>
  <c r="K112" i="3"/>
  <c r="L112" i="3" s="1"/>
  <c r="M111" i="3"/>
  <c r="N111" i="3" s="1"/>
  <c r="K111" i="3"/>
  <c r="L111" i="3" s="1"/>
  <c r="M110" i="3"/>
  <c r="N110" i="3" s="1"/>
  <c r="K110" i="3"/>
  <c r="L110" i="3" s="1"/>
  <c r="M109" i="3"/>
  <c r="N109" i="3" s="1"/>
  <c r="K109" i="3"/>
  <c r="L109" i="3" s="1"/>
  <c r="M108" i="3"/>
  <c r="N108" i="3" s="1"/>
  <c r="K108" i="3"/>
  <c r="L108" i="3" s="1"/>
  <c r="M107" i="3"/>
  <c r="N107" i="3" s="1"/>
  <c r="K107" i="3"/>
  <c r="L107" i="3" s="1"/>
  <c r="M106" i="3"/>
  <c r="N106" i="3" s="1"/>
  <c r="K106" i="3"/>
  <c r="L106" i="3" s="1"/>
  <c r="M105" i="3"/>
  <c r="N105" i="3" s="1"/>
  <c r="K105" i="3"/>
  <c r="L105" i="3" s="1"/>
  <c r="M104" i="3"/>
  <c r="N104" i="3" s="1"/>
  <c r="K104" i="3"/>
  <c r="L104" i="3" s="1"/>
  <c r="M103" i="3"/>
  <c r="N103" i="3" s="1"/>
  <c r="K103" i="3"/>
  <c r="L103" i="3" s="1"/>
  <c r="M102" i="3"/>
  <c r="N102" i="3" s="1"/>
  <c r="K102" i="3"/>
  <c r="L102" i="3" s="1"/>
  <c r="M101" i="3"/>
  <c r="N101" i="3" s="1"/>
  <c r="K101" i="3"/>
  <c r="L101" i="3" s="1"/>
  <c r="M100" i="3"/>
  <c r="N100" i="3" s="1"/>
  <c r="K100" i="3"/>
  <c r="L100" i="3" s="1"/>
  <c r="M99" i="3"/>
  <c r="N99" i="3" s="1"/>
  <c r="K99" i="3"/>
  <c r="L99" i="3" s="1"/>
  <c r="M98" i="3"/>
  <c r="N98" i="3" s="1"/>
  <c r="K98" i="3"/>
  <c r="L98" i="3" s="1"/>
  <c r="M97" i="3"/>
  <c r="N97" i="3" s="1"/>
  <c r="K97" i="3"/>
  <c r="L97" i="3" s="1"/>
  <c r="M96" i="3"/>
  <c r="N96" i="3" s="1"/>
  <c r="K96" i="3"/>
  <c r="L96" i="3" s="1"/>
  <c r="M95" i="3"/>
  <c r="N95" i="3" s="1"/>
  <c r="K95" i="3"/>
  <c r="L95" i="3" s="1"/>
  <c r="M94" i="3"/>
  <c r="N94" i="3" s="1"/>
  <c r="K94" i="3"/>
  <c r="L94" i="3" s="1"/>
  <c r="M93" i="3"/>
  <c r="N93" i="3" s="1"/>
  <c r="K93" i="3"/>
  <c r="L93" i="3" s="1"/>
  <c r="M92" i="3"/>
  <c r="N92" i="3" s="1"/>
  <c r="K92" i="3"/>
  <c r="L92" i="3" s="1"/>
  <c r="M91" i="3"/>
  <c r="N91" i="3" s="1"/>
  <c r="K91" i="3"/>
  <c r="L91" i="3" s="1"/>
  <c r="M90" i="3"/>
  <c r="N90" i="3" s="1"/>
  <c r="K90" i="3"/>
  <c r="L90" i="3" s="1"/>
  <c r="M89" i="3"/>
  <c r="N89" i="3" s="1"/>
  <c r="K89" i="3"/>
  <c r="L89" i="3" s="1"/>
  <c r="M88" i="3"/>
  <c r="N88" i="3" s="1"/>
  <c r="K88" i="3"/>
  <c r="L88" i="3" s="1"/>
  <c r="M87" i="3"/>
  <c r="N87" i="3" s="1"/>
  <c r="K87" i="3"/>
  <c r="L87" i="3" s="1"/>
  <c r="M86" i="3"/>
  <c r="N86" i="3" s="1"/>
  <c r="K86" i="3"/>
  <c r="L86" i="3" s="1"/>
  <c r="M85" i="3"/>
  <c r="N85" i="3" s="1"/>
  <c r="K85" i="3"/>
  <c r="L85" i="3" s="1"/>
  <c r="M84" i="3"/>
  <c r="N84" i="3" s="1"/>
  <c r="K84" i="3"/>
  <c r="L84" i="3" s="1"/>
  <c r="M83" i="3"/>
  <c r="N83" i="3" s="1"/>
  <c r="K83" i="3"/>
  <c r="L83" i="3" s="1"/>
  <c r="M82" i="3"/>
  <c r="N82" i="3" s="1"/>
  <c r="K82" i="3"/>
  <c r="L82" i="3" s="1"/>
  <c r="M81" i="3"/>
  <c r="N81" i="3" s="1"/>
  <c r="K81" i="3"/>
  <c r="L81" i="3" s="1"/>
  <c r="M80" i="3"/>
  <c r="N80" i="3" s="1"/>
  <c r="K80" i="3"/>
  <c r="L80" i="3" s="1"/>
  <c r="M79" i="3"/>
  <c r="N79" i="3" s="1"/>
  <c r="K79" i="3"/>
  <c r="L79" i="3" s="1"/>
  <c r="M78" i="3"/>
  <c r="N78" i="3" s="1"/>
  <c r="K78" i="3"/>
  <c r="L78" i="3" s="1"/>
  <c r="M77" i="3"/>
  <c r="N77" i="3" s="1"/>
  <c r="K77" i="3"/>
  <c r="L77" i="3" s="1"/>
  <c r="M76" i="3"/>
  <c r="N76" i="3" s="1"/>
  <c r="K76" i="3"/>
  <c r="L76" i="3" s="1"/>
  <c r="M75" i="3"/>
  <c r="N75" i="3" s="1"/>
  <c r="K75" i="3"/>
  <c r="L75" i="3" s="1"/>
  <c r="M74" i="3"/>
  <c r="N74" i="3" s="1"/>
  <c r="K74" i="3"/>
  <c r="L74" i="3" s="1"/>
  <c r="M73" i="3"/>
  <c r="N73" i="3" s="1"/>
  <c r="K73" i="3"/>
  <c r="L73" i="3" s="1"/>
  <c r="M72" i="3"/>
  <c r="N72" i="3" s="1"/>
  <c r="K72" i="3"/>
  <c r="L72" i="3" s="1"/>
  <c r="M71" i="3"/>
  <c r="N71" i="3" s="1"/>
  <c r="K71" i="3"/>
  <c r="L71" i="3" s="1"/>
  <c r="M70" i="3"/>
  <c r="N70" i="3" s="1"/>
  <c r="K70" i="3"/>
  <c r="L70" i="3" s="1"/>
  <c r="M69" i="3"/>
  <c r="N69" i="3" s="1"/>
  <c r="K69" i="3"/>
  <c r="L69" i="3" s="1"/>
  <c r="M68" i="3"/>
  <c r="N68" i="3" s="1"/>
  <c r="K68" i="3"/>
  <c r="L68" i="3" s="1"/>
  <c r="M67" i="3"/>
  <c r="N67" i="3" s="1"/>
  <c r="K67" i="3"/>
  <c r="L67" i="3" s="1"/>
  <c r="M66" i="3"/>
  <c r="N66" i="3" s="1"/>
  <c r="K66" i="3"/>
  <c r="L66" i="3" s="1"/>
  <c r="M65" i="3"/>
  <c r="N65" i="3" s="1"/>
  <c r="K65" i="3"/>
  <c r="L65" i="3" s="1"/>
  <c r="M64" i="3"/>
  <c r="N64" i="3" s="1"/>
  <c r="K64" i="3"/>
  <c r="L64" i="3" s="1"/>
  <c r="M63" i="3"/>
  <c r="N63" i="3" s="1"/>
  <c r="K63" i="3"/>
  <c r="L63" i="3" s="1"/>
  <c r="M62" i="3"/>
  <c r="N62" i="3" s="1"/>
  <c r="K62" i="3"/>
  <c r="L62" i="3" s="1"/>
  <c r="M61" i="3"/>
  <c r="N61" i="3" s="1"/>
  <c r="K61" i="3"/>
  <c r="L61" i="3" s="1"/>
  <c r="M60" i="3"/>
  <c r="N60" i="3" s="1"/>
  <c r="K60" i="3"/>
  <c r="L60" i="3" s="1"/>
  <c r="M59" i="3"/>
  <c r="N59" i="3" s="1"/>
  <c r="K59" i="3"/>
  <c r="L59" i="3" s="1"/>
  <c r="M58" i="3"/>
  <c r="N58" i="3" s="1"/>
  <c r="K58" i="3"/>
  <c r="L58" i="3" s="1"/>
  <c r="M57" i="3"/>
  <c r="N57" i="3" s="1"/>
  <c r="K57" i="3"/>
  <c r="L57" i="3" s="1"/>
  <c r="M56" i="3"/>
  <c r="N56" i="3" s="1"/>
  <c r="K56" i="3"/>
  <c r="L56" i="3" s="1"/>
  <c r="M55" i="3"/>
  <c r="N55" i="3" s="1"/>
  <c r="K55" i="3"/>
  <c r="L55" i="3" s="1"/>
  <c r="M54" i="3"/>
  <c r="N54" i="3" s="1"/>
  <c r="K54" i="3"/>
  <c r="L54" i="3" s="1"/>
  <c r="M53" i="3"/>
  <c r="N53" i="3" s="1"/>
  <c r="K53" i="3"/>
  <c r="L53" i="3" s="1"/>
  <c r="M52" i="3"/>
  <c r="N52" i="3" s="1"/>
  <c r="K52" i="3"/>
  <c r="L52" i="3" s="1"/>
  <c r="M51" i="3"/>
  <c r="N51" i="3" s="1"/>
  <c r="K51" i="3"/>
  <c r="L51" i="3" s="1"/>
  <c r="M50" i="3"/>
  <c r="N50" i="3" s="1"/>
  <c r="K50" i="3"/>
  <c r="L50" i="3" s="1"/>
  <c r="M49" i="3"/>
  <c r="N49" i="3" s="1"/>
  <c r="K49" i="3"/>
  <c r="L49" i="3" s="1"/>
  <c r="M48" i="3"/>
  <c r="N48" i="3" s="1"/>
  <c r="K48" i="3"/>
  <c r="L48" i="3" s="1"/>
  <c r="M47" i="3"/>
  <c r="N47" i="3" s="1"/>
  <c r="K47" i="3"/>
  <c r="L47" i="3" s="1"/>
  <c r="M46" i="3"/>
  <c r="N46" i="3" s="1"/>
  <c r="K46" i="3"/>
  <c r="L46" i="3" s="1"/>
  <c r="M45" i="3"/>
  <c r="N45" i="3" s="1"/>
  <c r="K45" i="3"/>
  <c r="L45" i="3" s="1"/>
  <c r="M44" i="3"/>
  <c r="N44" i="3" s="1"/>
  <c r="K44" i="3"/>
  <c r="L44" i="3" s="1"/>
  <c r="M43" i="3"/>
  <c r="N43" i="3" s="1"/>
  <c r="K43" i="3"/>
  <c r="L43" i="3" s="1"/>
  <c r="M42" i="3"/>
  <c r="N42" i="3" s="1"/>
  <c r="K42" i="3"/>
  <c r="L42" i="3" s="1"/>
  <c r="M41" i="3"/>
  <c r="N41" i="3" s="1"/>
  <c r="K41" i="3"/>
  <c r="L41" i="3" s="1"/>
  <c r="M40" i="3"/>
  <c r="N40" i="3" s="1"/>
  <c r="K40" i="3"/>
  <c r="L40" i="3" s="1"/>
  <c r="M39" i="3"/>
  <c r="N39" i="3" s="1"/>
  <c r="K39" i="3"/>
  <c r="L39" i="3" s="1"/>
  <c r="M38" i="3"/>
  <c r="N38" i="3" s="1"/>
  <c r="K38" i="3"/>
  <c r="L38" i="3" s="1"/>
  <c r="M37" i="3"/>
  <c r="N37" i="3" s="1"/>
  <c r="K37" i="3"/>
  <c r="L37" i="3" s="1"/>
  <c r="M36" i="3"/>
  <c r="N36" i="3" s="1"/>
  <c r="K36" i="3"/>
  <c r="L36" i="3" s="1"/>
  <c r="M35" i="3"/>
  <c r="N35" i="3" s="1"/>
  <c r="K35" i="3"/>
  <c r="L35" i="3" s="1"/>
  <c r="M34" i="3"/>
  <c r="N34" i="3" s="1"/>
  <c r="K34" i="3"/>
  <c r="L34" i="3" s="1"/>
  <c r="M33" i="3"/>
  <c r="N33" i="3" s="1"/>
  <c r="K33" i="3"/>
  <c r="L33" i="3" s="1"/>
  <c r="M32" i="3"/>
  <c r="N32" i="3" s="1"/>
  <c r="K32" i="3"/>
  <c r="L32" i="3" s="1"/>
  <c r="M31" i="3"/>
  <c r="N31" i="3" s="1"/>
  <c r="K31" i="3"/>
  <c r="L31" i="3" s="1"/>
  <c r="M30" i="3"/>
  <c r="N30" i="3" s="1"/>
  <c r="K30" i="3"/>
  <c r="L30" i="3" s="1"/>
  <c r="M29" i="3"/>
  <c r="N29" i="3" s="1"/>
  <c r="K29" i="3"/>
  <c r="L29" i="3" s="1"/>
  <c r="M28" i="3"/>
  <c r="N28" i="3" s="1"/>
  <c r="K28" i="3"/>
  <c r="L28" i="3" s="1"/>
  <c r="M27" i="3"/>
  <c r="N27" i="3" s="1"/>
  <c r="K27" i="3"/>
  <c r="L27" i="3" s="1"/>
  <c r="M26" i="3"/>
  <c r="N26" i="3" s="1"/>
  <c r="K26" i="3"/>
  <c r="L26" i="3" s="1"/>
  <c r="M25" i="3"/>
  <c r="N25" i="3" s="1"/>
  <c r="K25" i="3"/>
  <c r="L25" i="3" s="1"/>
  <c r="M24" i="3"/>
  <c r="N24" i="3" s="1"/>
  <c r="K24" i="3"/>
  <c r="L24" i="3" s="1"/>
  <c r="M23" i="3"/>
  <c r="N23" i="3" s="1"/>
  <c r="K23" i="3"/>
  <c r="L23" i="3" s="1"/>
  <c r="M22" i="3"/>
  <c r="N22" i="3" s="1"/>
  <c r="K22" i="3"/>
  <c r="L22" i="3" s="1"/>
  <c r="M21" i="3"/>
  <c r="N21" i="3" s="1"/>
  <c r="K21" i="3"/>
  <c r="L21" i="3" s="1"/>
  <c r="M20" i="3"/>
  <c r="N20" i="3" s="1"/>
  <c r="K20" i="3"/>
  <c r="L20" i="3" s="1"/>
  <c r="M19" i="3"/>
  <c r="N19" i="3" s="1"/>
  <c r="K19" i="3"/>
  <c r="L19" i="3" s="1"/>
  <c r="M18" i="3"/>
  <c r="N18" i="3" s="1"/>
  <c r="K18" i="3"/>
  <c r="L18" i="3" s="1"/>
  <c r="M17" i="3"/>
  <c r="N17" i="3" s="1"/>
  <c r="K17" i="3"/>
  <c r="L17" i="3" s="1"/>
  <c r="M16" i="3"/>
  <c r="N16" i="3" s="1"/>
  <c r="K16" i="3"/>
  <c r="L16" i="3" s="1"/>
  <c r="M15" i="3"/>
  <c r="N15" i="3" s="1"/>
  <c r="K15" i="3"/>
  <c r="L15" i="3" s="1"/>
  <c r="M14" i="3"/>
  <c r="N14" i="3" s="1"/>
  <c r="K14" i="3"/>
  <c r="L14" i="3" s="1"/>
  <c r="M13" i="3"/>
  <c r="N13" i="3" s="1"/>
  <c r="K13" i="3"/>
  <c r="L13" i="3" s="1"/>
  <c r="M12" i="3"/>
  <c r="N12" i="3" s="1"/>
  <c r="K12" i="3"/>
  <c r="L12" i="3" s="1"/>
  <c r="M11" i="3"/>
  <c r="N11" i="3" s="1"/>
  <c r="K11" i="3"/>
  <c r="L11" i="3" s="1"/>
  <c r="M10" i="3"/>
  <c r="N10" i="3" s="1"/>
  <c r="K10" i="3"/>
  <c r="L10" i="3" s="1"/>
  <c r="M9" i="3"/>
  <c r="N9" i="3" s="1"/>
  <c r="K9" i="3"/>
  <c r="L9" i="3" s="1"/>
  <c r="M8" i="3"/>
  <c r="N8" i="3" s="1"/>
  <c r="K8" i="3"/>
  <c r="L8" i="3" s="1"/>
  <c r="M7" i="3"/>
  <c r="N7" i="3" s="1"/>
  <c r="K7" i="3"/>
  <c r="L7" i="3" s="1"/>
  <c r="B3" i="3"/>
  <c r="C37" i="2"/>
  <c r="C36" i="2"/>
  <c r="A36" i="2"/>
  <c r="A35" i="2"/>
  <c r="E27" i="7" l="1"/>
  <c r="D27" i="7"/>
  <c r="C27" i="7"/>
  <c r="C27" i="6"/>
  <c r="D83" i="4" s="1"/>
  <c r="D25" i="4"/>
  <c r="D26" i="4"/>
  <c r="B52" i="6"/>
  <c r="B39" i="6"/>
  <c r="A52" i="6"/>
  <c r="A39" i="6"/>
  <c r="B51" i="6"/>
  <c r="B38" i="6"/>
  <c r="A51" i="6"/>
  <c r="A38" i="6"/>
  <c r="B50" i="6"/>
  <c r="B37" i="6"/>
  <c r="A50" i="6"/>
  <c r="A37" i="6"/>
  <c r="B49" i="6"/>
  <c r="B36" i="6"/>
  <c r="A49" i="6"/>
  <c r="A36" i="6"/>
  <c r="I32" i="8"/>
  <c r="J32" i="8" s="1"/>
  <c r="F32" i="8"/>
  <c r="I31" i="8"/>
  <c r="J31" i="8" s="1"/>
  <c r="F31" i="8"/>
  <c r="F30" i="8"/>
  <c r="I30" i="8"/>
  <c r="J30" i="8" s="1"/>
  <c r="I29" i="8"/>
  <c r="J29" i="8" s="1"/>
  <c r="F29" i="8"/>
  <c r="I28" i="8"/>
  <c r="J28" i="8" s="1"/>
  <c r="F28" i="8"/>
  <c r="E52" i="6"/>
  <c r="C52" i="6"/>
  <c r="D52" i="6" s="1"/>
  <c r="E51" i="6"/>
  <c r="C51" i="6"/>
  <c r="D51" i="6" s="1"/>
  <c r="C50" i="6"/>
  <c r="D50" i="6" s="1"/>
  <c r="E50" i="6"/>
  <c r="E49" i="6"/>
  <c r="C9" i="9" s="1"/>
  <c r="C49" i="6"/>
  <c r="D49" i="6" s="1"/>
  <c r="F39" i="6"/>
  <c r="E39" i="6"/>
  <c r="D39" i="6"/>
  <c r="G39" i="6"/>
  <c r="F38" i="6"/>
  <c r="D38" i="6"/>
  <c r="E38" i="6"/>
  <c r="G38" i="6"/>
  <c r="G37" i="6"/>
  <c r="F37" i="6"/>
  <c r="E37" i="6"/>
  <c r="D37" i="6"/>
  <c r="G36" i="6"/>
  <c r="C43" i="6"/>
  <c r="C6" i="7"/>
  <c r="P16" i="6"/>
  <c r="Q16" i="6" s="1"/>
  <c r="O16" i="6"/>
  <c r="P15" i="6"/>
  <c r="Q15" i="6" s="1"/>
  <c r="O15" i="6"/>
  <c r="O14" i="6"/>
  <c r="P14" i="6"/>
  <c r="Q14" i="6" s="1"/>
  <c r="O13" i="6"/>
  <c r="P13" i="6"/>
  <c r="Q13" i="6" s="1"/>
  <c r="O12" i="6"/>
  <c r="P12" i="6"/>
  <c r="Q12" i="6" s="1"/>
  <c r="O11" i="6"/>
  <c r="P11" i="6"/>
  <c r="Q11" i="6" s="1"/>
  <c r="O10" i="6"/>
  <c r="P10" i="6"/>
  <c r="Q10" i="6" s="1"/>
  <c r="O9" i="6"/>
  <c r="P9" i="6"/>
  <c r="Q9" i="6" s="1"/>
  <c r="O8" i="6"/>
  <c r="P8" i="6"/>
  <c r="Q8" i="6" s="1"/>
  <c r="O7" i="6"/>
  <c r="C29" i="6" s="1"/>
  <c r="P7" i="6"/>
  <c r="Q7" i="6" s="1"/>
  <c r="D20" i="6"/>
  <c r="C21" i="6"/>
  <c r="C13" i="7" s="1"/>
  <c r="C22" i="6"/>
  <c r="C23" i="6"/>
  <c r="B21" i="5"/>
  <c r="A22" i="5"/>
  <c r="E16" i="5"/>
  <c r="F16" i="5"/>
  <c r="C39" i="6" s="1"/>
  <c r="G16" i="5"/>
  <c r="E15" i="5"/>
  <c r="F15" i="5"/>
  <c r="C38" i="6" s="1"/>
  <c r="G15" i="5"/>
  <c r="E14" i="5"/>
  <c r="G14" i="5"/>
  <c r="F14" i="5"/>
  <c r="C37" i="6" s="1"/>
  <c r="C7" i="9"/>
  <c r="G13" i="5"/>
  <c r="E13" i="5"/>
  <c r="F13" i="5"/>
  <c r="C36" i="6" s="1"/>
  <c r="J9" i="5"/>
  <c r="I9" i="5"/>
  <c r="H9" i="5"/>
  <c r="K9" i="5" s="1"/>
  <c r="G9" i="5"/>
  <c r="F9" i="5"/>
  <c r="G8" i="5"/>
  <c r="J8" i="5"/>
  <c r="I8" i="5"/>
  <c r="H8" i="5"/>
  <c r="K8" i="5" s="1"/>
  <c r="F8" i="5"/>
  <c r="H7" i="5"/>
  <c r="K7" i="5" s="1"/>
  <c r="C10" i="7" s="1"/>
  <c r="I7" i="5"/>
  <c r="J7" i="5"/>
  <c r="G7" i="5"/>
  <c r="F7" i="5"/>
  <c r="G6" i="5"/>
  <c r="H6" i="5"/>
  <c r="K6" i="5" s="1"/>
  <c r="J6" i="5"/>
  <c r="F6" i="5"/>
  <c r="I6" i="5"/>
  <c r="C72" i="4"/>
  <c r="G63" i="4"/>
  <c r="G70" i="4" s="1"/>
  <c r="D21" i="4"/>
  <c r="E27" i="4"/>
  <c r="C28" i="4"/>
  <c r="E28" i="4"/>
  <c r="H63" i="4"/>
  <c r="H64" i="4"/>
  <c r="H65" i="4"/>
  <c r="H66" i="4"/>
  <c r="H67" i="4"/>
  <c r="H68" i="4"/>
  <c r="B98" i="4"/>
  <c r="D98" i="4" s="1"/>
  <c r="B97" i="4"/>
  <c r="D74" i="4"/>
  <c r="C47" i="4"/>
  <c r="B77" i="4"/>
  <c r="D86" i="4"/>
  <c r="D99" i="4" s="1"/>
  <c r="B99" i="4"/>
  <c r="C42" i="6"/>
  <c r="C5" i="7"/>
  <c r="C5" i="9"/>
  <c r="D3" i="3"/>
  <c r="D36" i="6" l="1"/>
  <c r="E36" i="6"/>
  <c r="F36" i="6"/>
  <c r="C30" i="6"/>
  <c r="C33" i="6" s="1"/>
  <c r="C8" i="9"/>
  <c r="C32" i="6"/>
  <c r="C29" i="7"/>
  <c r="E29" i="7"/>
  <c r="D29" i="7"/>
  <c r="C14" i="7"/>
  <c r="C45" i="6"/>
  <c r="B22" i="5"/>
  <c r="A23" i="5"/>
  <c r="C8" i="7"/>
  <c r="C6" i="9"/>
  <c r="I63" i="4"/>
  <c r="J63" i="4"/>
  <c r="H70" i="4"/>
  <c r="C73" i="4" s="1"/>
  <c r="C74" i="4" s="1"/>
  <c r="I64" i="4"/>
  <c r="J64" i="4"/>
  <c r="I65" i="4"/>
  <c r="J65" i="4"/>
  <c r="I66" i="4"/>
  <c r="J66" i="4"/>
  <c r="I67" i="4"/>
  <c r="J67" i="4"/>
  <c r="I68" i="4"/>
  <c r="J68" i="4"/>
  <c r="B81" i="4"/>
  <c r="C31" i="7"/>
  <c r="D31" i="7"/>
  <c r="E31" i="7"/>
  <c r="E29" i="4"/>
  <c r="F29" i="4" s="1"/>
  <c r="C44" i="6"/>
  <c r="C29" i="4"/>
  <c r="D40" i="4"/>
  <c r="I70" i="4" l="1"/>
  <c r="E30" i="7"/>
  <c r="C30" i="7"/>
  <c r="D30" i="7"/>
  <c r="B23" i="5"/>
  <c r="A24" i="5"/>
  <c r="C77" i="4"/>
  <c r="D77" i="4" s="1"/>
  <c r="C78" i="4"/>
  <c r="D78" i="4" s="1"/>
  <c r="D104" i="4" s="1"/>
  <c r="C79" i="4"/>
  <c r="D79" i="4" s="1"/>
  <c r="C80" i="4"/>
  <c r="D80" i="4" s="1"/>
  <c r="C97" i="4"/>
  <c r="C17" i="7"/>
  <c r="C34" i="7"/>
  <c r="C35" i="7" s="1"/>
  <c r="C37" i="7"/>
  <c r="C32" i="7"/>
  <c r="C33" i="7" s="1"/>
  <c r="C36" i="7"/>
  <c r="C38" i="7" s="1"/>
  <c r="C39" i="7"/>
  <c r="C41" i="7" s="1"/>
  <c r="C40" i="7"/>
  <c r="D36" i="7"/>
  <c r="D38" i="7" s="1"/>
  <c r="D37" i="7"/>
  <c r="D39" i="7"/>
  <c r="D41" i="7" s="1"/>
  <c r="D32" i="7"/>
  <c r="D33" i="7" s="1"/>
  <c r="D34" i="7"/>
  <c r="D35" i="7" s="1"/>
  <c r="D40" i="7"/>
  <c r="E32" i="7"/>
  <c r="E33" i="7" s="1"/>
  <c r="E37" i="7"/>
  <c r="E39" i="7"/>
  <c r="E41" i="7" s="1"/>
  <c r="E34" i="7"/>
  <c r="E35" i="7" s="1"/>
  <c r="E36" i="7"/>
  <c r="E38" i="7" s="1"/>
  <c r="E40" i="7"/>
  <c r="C40" i="4"/>
  <c r="E41" i="4"/>
  <c r="J70" i="4"/>
  <c r="B24" i="5" l="1"/>
  <c r="A25" i="5"/>
  <c r="D81" i="4"/>
  <c r="B25" i="5" l="1"/>
  <c r="A26" i="5"/>
  <c r="D84" i="4"/>
  <c r="D97" i="4"/>
  <c r="D100" i="4" s="1"/>
  <c r="E100" i="4" s="1"/>
  <c r="B26" i="5" l="1"/>
  <c r="A27" i="5"/>
  <c r="B27" i="5" l="1"/>
  <c r="A28" i="5"/>
  <c r="B28" i="5" l="1"/>
  <c r="A29" i="5"/>
  <c r="B29" i="5" l="1"/>
  <c r="A30" i="5"/>
  <c r="B30" i="5" l="1"/>
  <c r="A31" i="5"/>
  <c r="B31" i="5" l="1"/>
  <c r="A32" i="5"/>
  <c r="B32" i="5" l="1"/>
  <c r="A33" i="5"/>
  <c r="B33" i="5" l="1"/>
  <c r="A34" i="5"/>
  <c r="B34" i="5" l="1"/>
  <c r="A35" i="5"/>
  <c r="B35" i="5" l="1"/>
  <c r="A36" i="5"/>
  <c r="B36" i="5" l="1"/>
  <c r="A37" i="5"/>
  <c r="B37" i="5" l="1"/>
  <c r="A38" i="5"/>
  <c r="B38" i="5" l="1"/>
  <c r="A39" i="5"/>
  <c r="B39" i="5" l="1"/>
  <c r="A40" i="5"/>
  <c r="B40" i="5" l="1"/>
  <c r="A41" i="5"/>
  <c r="B41" i="5" l="1"/>
  <c r="A42" i="5"/>
  <c r="B42" i="5" l="1"/>
  <c r="A43" i="5"/>
  <c r="B43" i="5" l="1"/>
  <c r="A44" i="5"/>
  <c r="B44" i="5" l="1"/>
  <c r="A45" i="5"/>
  <c r="B45" i="5" l="1"/>
  <c r="A46" i="5"/>
  <c r="B46" i="5" l="1"/>
  <c r="A47" i="5"/>
  <c r="B47" i="5" l="1"/>
  <c r="A48" i="5"/>
  <c r="B48" i="5" l="1"/>
  <c r="A49" i="5"/>
  <c r="B49" i="5" l="1"/>
  <c r="A50" i="5"/>
  <c r="B50" i="5" l="1"/>
  <c r="A51" i="5"/>
  <c r="B51" i="5" l="1"/>
  <c r="A52" i="5"/>
  <c r="B52" i="5" l="1"/>
  <c r="A53" i="5"/>
  <c r="B53" i="5" l="1"/>
  <c r="A54" i="5"/>
  <c r="B54" i="5" l="1"/>
  <c r="A55" i="5"/>
  <c r="B55" i="5" l="1"/>
  <c r="A56" i="5"/>
  <c r="B56" i="5" l="1"/>
  <c r="A57" i="5"/>
  <c r="B57" i="5" l="1"/>
  <c r="A58" i="5"/>
  <c r="B58" i="5" l="1"/>
  <c r="A59" i="5"/>
  <c r="B59" i="5" l="1"/>
  <c r="A60" i="5"/>
  <c r="B60" i="5" l="1"/>
  <c r="A61" i="5"/>
  <c r="B61" i="5" l="1"/>
  <c r="A62" i="5"/>
  <c r="B62" i="5" l="1"/>
  <c r="A63" i="5"/>
  <c r="B63" i="5" l="1"/>
  <c r="A64" i="5"/>
  <c r="B64" i="5" l="1"/>
  <c r="A65" i="5"/>
  <c r="B65" i="5" l="1"/>
  <c r="A66" i="5"/>
  <c r="B66" i="5" l="1"/>
  <c r="A67" i="5"/>
  <c r="B67" i="5" l="1"/>
  <c r="A68" i="5"/>
  <c r="B68" i="5" l="1"/>
  <c r="A69" i="5"/>
  <c r="B69" i="5" l="1"/>
  <c r="A70" i="5"/>
  <c r="B70" i="5" l="1"/>
  <c r="A71" i="5"/>
  <c r="B71" i="5" l="1"/>
  <c r="A72" i="5"/>
  <c r="B72" i="5" l="1"/>
  <c r="A73" i="5"/>
  <c r="B73" i="5" l="1"/>
  <c r="A74" i="5"/>
  <c r="B74" i="5" l="1"/>
  <c r="A75" i="5"/>
  <c r="B75" i="5" l="1"/>
  <c r="A76" i="5"/>
  <c r="B76" i="5" l="1"/>
  <c r="A77" i="5"/>
  <c r="B77" i="5" l="1"/>
  <c r="A78" i="5"/>
  <c r="B78" i="5" l="1"/>
  <c r="A79" i="5"/>
  <c r="B79" i="5" l="1"/>
  <c r="A80" i="5"/>
  <c r="B80" i="5" l="1"/>
  <c r="A81" i="5"/>
  <c r="B81" i="5" l="1"/>
  <c r="A82" i="5"/>
  <c r="B82" i="5" l="1"/>
  <c r="A83" i="5"/>
  <c r="B83" i="5" l="1"/>
  <c r="A84" i="5"/>
  <c r="B84" i="5" l="1"/>
  <c r="A85" i="5"/>
  <c r="B85" i="5" l="1"/>
  <c r="A86" i="5"/>
  <c r="B86" i="5" l="1"/>
  <c r="A87" i="5"/>
  <c r="B87" i="5" l="1"/>
  <c r="A88" i="5"/>
  <c r="B88" i="5" l="1"/>
  <c r="A89" i="5"/>
  <c r="B89" i="5" l="1"/>
  <c r="A90" i="5"/>
  <c r="B90" i="5" l="1"/>
  <c r="A91" i="5"/>
  <c r="B91" i="5" l="1"/>
  <c r="A92" i="5"/>
  <c r="B92" i="5" l="1"/>
  <c r="A93" i="5"/>
  <c r="B93" i="5" l="1"/>
  <c r="A94" i="5"/>
  <c r="B94" i="5" l="1"/>
  <c r="A95" i="5"/>
  <c r="B95" i="5" l="1"/>
  <c r="A96" i="5"/>
  <c r="B96" i="5" l="1"/>
  <c r="A97" i="5"/>
  <c r="B97" i="5" l="1"/>
  <c r="A98" i="5"/>
  <c r="B98" i="5" l="1"/>
  <c r="A99" i="5"/>
  <c r="B99" i="5" l="1"/>
  <c r="A100" i="5"/>
  <c r="B100" i="5" l="1"/>
  <c r="A101" i="5"/>
  <c r="B101" i="5" l="1"/>
  <c r="A102" i="5"/>
  <c r="B102" i="5" l="1"/>
  <c r="A103" i="5"/>
  <c r="B103" i="5" l="1"/>
  <c r="A104" i="5"/>
  <c r="B104" i="5" l="1"/>
  <c r="A105" i="5"/>
  <c r="B105" i="5" l="1"/>
  <c r="A106" i="5"/>
  <c r="B106" i="5" l="1"/>
  <c r="A107" i="5"/>
  <c r="B107" i="5" l="1"/>
  <c r="A108" i="5"/>
  <c r="B108" i="5" l="1"/>
  <c r="A109" i="5"/>
  <c r="B109" i="5" l="1"/>
  <c r="A110" i="5"/>
  <c r="B110" i="5" l="1"/>
  <c r="A111" i="5"/>
  <c r="B111" i="5" l="1"/>
  <c r="A112" i="5"/>
  <c r="B112" i="5" l="1"/>
  <c r="A113" i="5"/>
  <c r="B113" i="5" l="1"/>
  <c r="A114" i="5"/>
  <c r="B114" i="5" l="1"/>
  <c r="A115" i="5"/>
  <c r="B115" i="5" l="1"/>
  <c r="A116" i="5"/>
  <c r="B116" i="5" l="1"/>
  <c r="A117" i="5"/>
  <c r="B117" i="5" l="1"/>
  <c r="A118" i="5"/>
  <c r="B118" i="5" l="1"/>
  <c r="A119" i="5"/>
  <c r="B119" i="5" l="1"/>
  <c r="A120" i="5"/>
  <c r="B120" i="5" l="1"/>
  <c r="A121" i="5"/>
  <c r="B121" i="5" l="1"/>
  <c r="A122" i="5"/>
  <c r="B122" i="5" l="1"/>
  <c r="A123" i="5"/>
  <c r="B123" i="5" l="1"/>
  <c r="A124" i="5"/>
  <c r="B124" i="5" l="1"/>
  <c r="A125" i="5"/>
  <c r="B125" i="5" l="1"/>
  <c r="A126" i="5"/>
  <c r="B126" i="5" l="1"/>
  <c r="A127" i="5"/>
  <c r="B127" i="5" l="1"/>
  <c r="A128" i="5"/>
  <c r="B128" i="5" l="1"/>
  <c r="A129" i="5"/>
  <c r="B129" i="5" l="1"/>
  <c r="A130" i="5"/>
  <c r="B130" i="5" l="1"/>
  <c r="A131" i="5"/>
  <c r="B131" i="5" l="1"/>
  <c r="A132" i="5"/>
  <c r="B132" i="5" l="1"/>
  <c r="A133" i="5"/>
  <c r="B133" i="5" l="1"/>
  <c r="A134" i="5"/>
  <c r="B134" i="5" l="1"/>
  <c r="A135" i="5"/>
  <c r="B135" i="5" l="1"/>
  <c r="A136" i="5"/>
  <c r="B136" i="5" l="1"/>
  <c r="A137" i="5"/>
  <c r="B137" i="5" l="1"/>
  <c r="A138" i="5"/>
  <c r="B138" i="5" l="1"/>
  <c r="A139" i="5"/>
  <c r="B139" i="5" l="1"/>
  <c r="A140" i="5"/>
  <c r="B140" i="5" l="1"/>
  <c r="A141" i="5"/>
  <c r="B141" i="5" l="1"/>
  <c r="A142" i="5"/>
  <c r="B142" i="5" l="1"/>
  <c r="A143" i="5"/>
  <c r="B143" i="5" l="1"/>
  <c r="A144" i="5"/>
  <c r="B144" i="5" l="1"/>
  <c r="A145" i="5"/>
  <c r="B145" i="5" l="1"/>
  <c r="A146" i="5"/>
  <c r="B146" i="5" l="1"/>
  <c r="A147" i="5"/>
  <c r="B147" i="5" l="1"/>
  <c r="A148" i="5"/>
  <c r="B148" i="5" l="1"/>
  <c r="A149" i="5"/>
  <c r="B149" i="5" l="1"/>
  <c r="A150" i="5"/>
  <c r="B150" i="5" l="1"/>
  <c r="A151" i="5"/>
  <c r="B151" i="5" l="1"/>
  <c r="A152" i="5"/>
  <c r="B152" i="5" l="1"/>
  <c r="A153" i="5"/>
  <c r="B153" i="5" l="1"/>
  <c r="A154" i="5"/>
  <c r="B154" i="5" l="1"/>
  <c r="A155" i="5"/>
  <c r="B155" i="5" l="1"/>
  <c r="A156" i="5"/>
  <c r="B156" i="5" l="1"/>
  <c r="A157" i="5"/>
  <c r="B157" i="5" l="1"/>
  <c r="A158" i="5"/>
  <c r="B158" i="5" l="1"/>
  <c r="A159" i="5"/>
  <c r="B159" i="5" l="1"/>
  <c r="A160" i="5"/>
  <c r="B160" i="5" l="1"/>
  <c r="A161" i="5"/>
  <c r="B161" i="5" l="1"/>
  <c r="A162" i="5"/>
  <c r="B162" i="5" l="1"/>
  <c r="A163" i="5"/>
  <c r="B163" i="5" l="1"/>
  <c r="A164" i="5"/>
  <c r="B164" i="5" l="1"/>
  <c r="A165" i="5"/>
  <c r="B165" i="5" l="1"/>
  <c r="A166" i="5"/>
  <c r="B166" i="5" l="1"/>
  <c r="A167" i="5"/>
  <c r="B167" i="5" l="1"/>
  <c r="A168" i="5"/>
  <c r="B168" i="5" l="1"/>
  <c r="A169" i="5"/>
  <c r="B169" i="5" l="1"/>
  <c r="A170" i="5"/>
  <c r="B170" i="5" l="1"/>
  <c r="A171" i="5"/>
  <c r="B171" i="5" l="1"/>
  <c r="A172" i="5"/>
  <c r="B172" i="5" l="1"/>
  <c r="A173" i="5"/>
  <c r="B173" i="5" l="1"/>
  <c r="A174" i="5"/>
  <c r="B174" i="5" l="1"/>
  <c r="A175" i="5"/>
  <c r="B175" i="5" l="1"/>
  <c r="A176" i="5"/>
  <c r="B176" i="5" l="1"/>
  <c r="A177" i="5"/>
  <c r="B177" i="5" l="1"/>
  <c r="A178" i="5"/>
  <c r="B178" i="5" l="1"/>
  <c r="A179" i="5"/>
  <c r="B179" i="5" l="1"/>
  <c r="A180" i="5"/>
  <c r="B180" i="5" l="1"/>
  <c r="A181" i="5"/>
  <c r="B181" i="5" l="1"/>
  <c r="A182" i="5"/>
  <c r="B182" i="5" l="1"/>
  <c r="A183" i="5"/>
  <c r="B183" i="5" l="1"/>
  <c r="A184" i="5"/>
  <c r="B184" i="5" l="1"/>
  <c r="A185" i="5"/>
  <c r="B185" i="5" l="1"/>
  <c r="A186" i="5"/>
  <c r="B186" i="5" l="1"/>
  <c r="A187" i="5"/>
  <c r="B187" i="5" l="1"/>
  <c r="A188" i="5"/>
  <c r="B188" i="5" l="1"/>
  <c r="A189" i="5"/>
  <c r="B189" i="5" l="1"/>
  <c r="A190" i="5"/>
  <c r="B190" i="5" l="1"/>
  <c r="A191" i="5"/>
  <c r="B191" i="5" l="1"/>
  <c r="A192" i="5"/>
  <c r="B192" i="5" l="1"/>
  <c r="A193" i="5"/>
  <c r="B193" i="5" l="1"/>
  <c r="A194" i="5"/>
  <c r="B194" i="5" l="1"/>
  <c r="A195" i="5"/>
  <c r="B195" i="5" l="1"/>
  <c r="A196" i="5"/>
  <c r="B196" i="5" l="1"/>
  <c r="A197" i="5"/>
  <c r="B197" i="5" l="1"/>
  <c r="A198" i="5"/>
  <c r="B198" i="5" l="1"/>
  <c r="A199" i="5"/>
  <c r="B199" i="5" l="1"/>
  <c r="A200" i="5"/>
  <c r="B200" i="5" l="1"/>
  <c r="A201" i="5"/>
  <c r="B201" i="5" l="1"/>
  <c r="A202" i="5"/>
  <c r="B202" i="5" l="1"/>
  <c r="A203" i="5"/>
  <c r="B203" i="5" l="1"/>
  <c r="A204" i="5"/>
  <c r="B204" i="5" l="1"/>
  <c r="A205" i="5"/>
  <c r="B205" i="5" l="1"/>
  <c r="A206" i="5"/>
  <c r="B206" i="5" l="1"/>
  <c r="A207" i="5"/>
  <c r="B207" i="5" l="1"/>
  <c r="A208" i="5"/>
  <c r="B208" i="5" l="1"/>
  <c r="A209" i="5"/>
  <c r="B209" i="5" l="1"/>
  <c r="A210" i="5"/>
  <c r="B210" i="5" l="1"/>
  <c r="A211" i="5"/>
  <c r="B211" i="5" l="1"/>
  <c r="A212" i="5"/>
  <c r="B212" i="5" l="1"/>
  <c r="A213" i="5"/>
  <c r="B213" i="5" l="1"/>
  <c r="A214" i="5"/>
  <c r="B214" i="5" l="1"/>
  <c r="A215" i="5"/>
  <c r="B215" i="5" l="1"/>
  <c r="A216" i="5"/>
  <c r="B216" i="5" l="1"/>
  <c r="A217" i="5"/>
  <c r="B217" i="5" l="1"/>
  <c r="A218" i="5"/>
  <c r="B218" i="5" l="1"/>
  <c r="A219" i="5"/>
  <c r="B219" i="5" l="1"/>
  <c r="A220" i="5"/>
  <c r="B220" i="5" s="1"/>
</calcChain>
</file>

<file path=xl/sharedStrings.xml><?xml version="1.0" encoding="utf-8"?>
<sst xmlns="http://schemas.openxmlformats.org/spreadsheetml/2006/main" count="1282" uniqueCount="706">
  <si>
    <t>이 재고, 더 사도 될까 — 기록·계산 도구</t>
  </si>
  <si>
    <t>작은 온라인 판매자를 위한 재고·재주문·묶인 돈 점검 워크북 · 설명편과 같은 번호(S-01~S-12)·같은 용어·같은 단위(세트)를 씁니다. 가상 사례는 실제 판매 성과가 아닙니다.</t>
  </si>
  <si>
    <t>이 도구가 하는 일</t>
  </si>
  <si>
    <t>상품 한 가지의 입출고를 한 줄씩 기록하면 기록상 수량과 실사 수량의 차이, 판매 가능 수량, 재고에 묶인 돈, 기간별 판매 속도, 예상 소진 기간, 입고 예정과의 공백, 주문안 비교, 장기 보유 재고 정리 대안을 계산합니다.</t>
  </si>
  <si>
    <t>이 도구가 하지 않는 일</t>
  </si>
  <si>
    <t>판매를 예측하지 않습니다. 최적 주문량·안전재고를 정해 주지 않습니다. 회계상 재고자산 평가, 세금, 통장 잔액을 계산하지 않습니다. 소진 예상은 '속도가 이어진다'는 가정 위의 참고치입니다. 매크로·외부 연결·자동 수집·전송 기능이 없습니다.</t>
  </si>
  <si>
    <t>범위</t>
  </si>
  <si>
    <t>상품 한 가지 · 옵션 하나 · 판매단위 하나. 여러 상품이나 옵션은 파일을 복사해 따로 점검하세요. 식품·의약품·냉장·유통기한 상품, 다창고는 대상이 아닙니다.</t>
  </si>
  <si>
    <t>이용 안내</t>
  </si>
  <si>
    <t>이 엑셀 파일은 무료로 내려받아 개인 학습과 자신의 사업장 내부 재고 점검에 쓸 수 있습니다. GAON-LAB의 다운로드 페이지 링크는 공유할 수 있습니다. 파일 자체를 수정해 배포하거나, 다른 사람에게 재배포·재판매하거나, 자신의 상품에 포함하려면 GAON-LAB의 별도 허락이 필요합니다. 수량·단가·정산액은 설명용 가상 사례이며 성과나 수익을 보장하지 않습니다. 문의 contact@gaon-lab.kr</t>
  </si>
  <si>
    <t>날짜·단위 기준</t>
  </si>
  <si>
    <t>달력 일자. 기준일은 영업 종료 뒤 시점. 출고는 택배사에 넘긴 날. 수량은 모두 세트(상품·기준 시트의 입력 단위 표로 박스·낱개를 환산).</t>
  </si>
  <si>
    <t>칸 구분 — 색과 글자를 함께 봅니다</t>
  </si>
  <si>
    <t>입력</t>
  </si>
  <si>
    <t>연한 노랑 바탕·점선 테두리·파란 글씨 + '입력' 글자 = 직접 적는 칸</t>
  </si>
  <si>
    <t>계산</t>
  </si>
  <si>
    <t>회색 바탕·실선 테두리 + '계산' 글자 = 수식 칸(고치지 마세요). 시트를 잠그지 않았으므로 지우거나 덮어쓰면 계산이 깨질 수 있습니다</t>
  </si>
  <si>
    <t>정상 / 그 밖의 문구</t>
  </si>
  <si>
    <t>점검 칸이 '정상'이면 초록, 그 밖의 문구면 주황으로 문구와 색을 함께 보여 줍니다. 문구가 가리키는 이유를 읽고 고치세요(설명편 부록 D).</t>
  </si>
  <si>
    <t>사용 순서(설명편의 장과 같음)</t>
  </si>
  <si>
    <t>1. [상품·기준]: 상품, 단위, 환산 계수, 기준일, 점검 기간, 가정 값을 적습니다(S-01).</t>
  </si>
  <si>
    <t>2. [입출고기록]: 입고·출고·반품·폐기를 날짜별 한 줄씩 적습니다. 출고는 택배사에 넘긴 날 한 번만. 점검 칸의 문구를 확인합니다(S-03의 재료).</t>
  </si>
  <si>
    <t>3. [재고점검]: 실사(S-02)를 적고, 차이를 원인별로 정정한 뒤(S-03), 예약을 적어 판매 가능 수량을 봅니다(S-04). 로트를 적어 매입금액을 보고, 같은 재고의 세 가지 금액과 예약 재고의 금액(판매대금·예상 정산액·실제 입금액)은 따로 적습니다(S-05).</t>
  </si>
  <si>
    <t>4. [판매속도]: 날짜별 표(3절)에 품절·판매 중단·행사·제외 수량을 표시하고 1절에 기간을 적습니다(S-06, S-07).</t>
  </si>
  <si>
    <t>5. [입고예정]: 발주 이력과 미입고 주문을 적어 리드타임, 공백, 주문 기한을 봅니다(S-08, S-09).</t>
  </si>
  <si>
    <t>6. [주문비교]: 안 세 가지를 적어 비교합니다(S-10). 7. [장기재고]: 오래 안 팔리는 상품 한 가지를 따로 점검합니다(S-11). 8. [실행기록]: 행동·가정·조건·재점검 날짜를 남깁니다(S-12).</t>
  </si>
  <si>
    <t>[작성완료예시]는 책의 가상 사례입니다. 거기 있는 입력을 같은 칸에 넣어 보고 위쪽 결과와 도구의 값이 같은지 확인해 보세요.</t>
  </si>
  <si>
    <t>상태 문구의 뜻</t>
  </si>
  <si>
    <t>미입력</t>
  </si>
  <si>
    <t>필요한 칸이 비어 있음. 빈 칸을 0으로 바꿔 계산하지 않습니다.</t>
  </si>
  <si>
    <t>0</t>
  </si>
  <si>
    <t>확인한 결과가 0임. 비어 있음·미확인과 다릅니다.</t>
  </si>
  <si>
    <t>미확인</t>
  </si>
  <si>
    <t>확인하려 했으나 못 함. 계산에 쓰지 않거나 '미확인 포함'이라고 알립니다.</t>
  </si>
  <si>
    <t>계산 불가</t>
  </si>
  <si>
    <t>분모가 0이거나 필요한 값이 비어 있어 계산할 수 없음. 문구 뒤의 이유를 읽으세요.</t>
  </si>
  <si>
    <t>관찰 부족</t>
  </si>
  <si>
    <t>판매 가능 일수가 기준에 못 미쳐 속도를 참고로만 쓰는 상태.</t>
  </si>
  <si>
    <t>중복 의심</t>
  </si>
  <si>
    <t>같은 문서번호·구분·상태가 반영된 줄에 두 번 이상 있음. 하나를 반영 아니오로 바꾸세요.</t>
  </si>
  <si>
    <t>이미 출고로 기록됨</t>
  </si>
  <si>
    <t>예약 주문이 출고 줄에 이미 있음. 이중 차감 위험.</t>
  </si>
  <si>
    <t>한계와 호환성 — 실제로 연 환경만 적습니다</t>
  </si>
  <si>
    <t>Microsoft Excel(Mac)</t>
  </si>
  <si>
    <t>Microsoft Excel for Mac 16.114.1에서 이 파일을 열어 전체 계산한 뒤 저장했습니다. 그래서 계산된 값이 저장되어 있습니다. 같은 파일에 윤서 사례 입력과 변형 입력을 넣어 계산된 값을 읽고 별도 평가기의 값과 대조했으며, 시험 입력은 저장하지 않고 닫았습니다. 시트별 화면(열 너비·줄바꿈)은 Excel 창에서 눈으로 확인했습니다.</t>
  </si>
  <si>
    <t>Numbers·Windows Excel·웹·모바일</t>
  </si>
  <si>
    <t>Numbers, Windows용 Excel, 웹·모바일 엑셀, 구글 스프레드시트는 확인하지 않았습니다. 이 환경의 동작은 보장하지 않습니다. 저장된 계산값이 있어도 다른 프로그램에서는 다시 계산되며 결과가 다를 수 있습니다.</t>
  </si>
  <si>
    <t>계산 검증</t>
  </si>
  <si>
    <t>가상 사례의 수량·금액·날짜는 엑셀과 별도로 만든 계산기로 원장부터 다시 계산해 같은 입력의 엑셀 수식 결과와 대조했습니다. 내 데이터에서의 결과를 보증하지 않습니다.</t>
  </si>
  <si>
    <t>수식 규칙</t>
  </si>
  <si>
    <t>TODAY·INDIRECT·OFFSET·N()·TEXT()를 쓰지 않습니다. 날짜 글자는 YEAR·MONTH·DAY로 만듭니다.</t>
  </si>
  <si>
    <t>제작·판본</t>
  </si>
  <si>
    <t>제작 2026-10-23 · 수정 2026-10-24(r3) · 파일 이름 끝 r3</t>
  </si>
  <si>
    <t>상품·기준 (S-01)</t>
  </si>
  <si>
    <t>점검할 상품 한 가지, 옵션 하나, 판매단위 하나를 고정하고 기준일·점검 기간·가정 값을 적습니다. 연한 노랑 칸(입력)에만 적고 회색 칸(계산)은 고치지 않습니다. 가정 값은 사례를 위해 임의로 둔 값이니 내 값으로 바꾸세요.</t>
  </si>
  <si>
    <t>1. 상품·단위·기준일 (S-01)</t>
  </si>
  <si>
    <t>상품 이름</t>
  </si>
  <si>
    <t>판매 페이지의 이름</t>
  </si>
  <si>
    <t>옵션</t>
  </si>
  <si>
    <t>하나만 고르기. 옵션이 여럿이면 옵션마다 이 도구를 따로 쓰세요</t>
  </si>
  <si>
    <t>판매단위(설명)</t>
  </si>
  <si>
    <t>구매자가 한 번 주문할 때 받는 구성</t>
  </si>
  <si>
    <t>판매단위당 낱개 수</t>
  </si>
  <si>
    <t>낱개가 없으면 1</t>
  </si>
  <si>
    <t>공급처 구매 단위 이름</t>
  </si>
  <si>
    <t>예: 박스</t>
  </si>
  <si>
    <t>구매 단위당 판매단위 수(환산 계수)</t>
  </si>
  <si>
    <t>실물 한 박스를 열어 확인한 값</t>
  </si>
  <si>
    <t>재고를 세는 단위 이름</t>
  </si>
  <si>
    <t>판매단위의 이름. 예: 세트</t>
  </si>
  <si>
    <t>합칠 수 없는 옵션</t>
  </si>
  <si>
    <t>따로 점검할 옵션</t>
  </si>
  <si>
    <t>점검 기준일</t>
  </si>
  <si>
    <t>수량을 세는 날(영업 종료 뒤 시점). 날짜 형식으로 적기</t>
  </si>
  <si>
    <t>점검 기간 시작일</t>
  </si>
  <si>
    <t>속도를 구할 기간의 첫날</t>
  </si>
  <si>
    <t>점검 기간 종료일</t>
  </si>
  <si>
    <t>보통 기준일과 같음</t>
  </si>
  <si>
    <t>판매 채널</t>
  </si>
  <si>
    <t>여러 곳이면 모두 적기</t>
  </si>
  <si>
    <t>자료 위치</t>
  </si>
  <si>
    <t>파일 이름이나 화면 위치(고객 정보는 적지 않기)</t>
  </si>
  <si>
    <t>2. 판매·공급 참고 값 (S-05, S-10)</t>
  </si>
  <si>
    <t>현재 판매가(원/세트)</t>
  </si>
  <si>
    <t>한 세트를 팔았을 때 손에 남는 현금(참고)을 구하는 데만 씀</t>
  </si>
  <si>
    <t>수수료율(소수)</t>
  </si>
  <si>
    <t>0.10처럼 소수로. 10을 적으면 안 됨</t>
  </si>
  <si>
    <t>포장·발송비(원/건)</t>
  </si>
  <si>
    <t>주문 한 건당 드는 평균 비용</t>
  </si>
  <si>
    <t>공급처 최소 주문 박스 수</t>
  </si>
  <si>
    <t>이 값보다 적게 주문하는 안은 '최소 주문수량 미달'로 표시</t>
  </si>
  <si>
    <t>3. 가정 값 — 내 값으로 바꾸세요(사례의 값은 임의이며 정답이 아닙니다)</t>
  </si>
  <si>
    <t>관찰 부족 기준(판매 가능 일수)</t>
  </si>
  <si>
    <t>이보다 적은 판매 가능 일수로 구한 속도는 '관찰 부족'. 사례 14</t>
  </si>
  <si>
    <t>여유 일수</t>
  </si>
  <si>
    <t>주문 기한에서 빼는 완충. 사례 7</t>
  </si>
  <si>
    <t>지연 가정 일수</t>
  </si>
  <si>
    <t>입고가 늦어지는 경우를 보려고 더하는 일수. 사례 7</t>
  </si>
  <si>
    <t>비교 일수</t>
  </si>
  <si>
    <t>주문안을 비교할 기준일 이후 시점. 사례 60</t>
  </si>
  <si>
    <t>4. 입력 단위와 환산 계수 (입출고기록의 '입력 단위'에 쓰임)</t>
  </si>
  <si>
    <t>단위 이름</t>
  </si>
  <si>
    <t>구분</t>
  </si>
  <si>
    <t>환산 계수(세트 몇 개)</t>
  </si>
  <si>
    <t>설명</t>
  </si>
  <si>
    <t>판매단위. 항상 1</t>
  </si>
  <si>
    <t>공급처 구매 단위 → 구매 단위당 판매단위 수</t>
  </si>
  <si>
    <t>낱개 등의 이름을 적으면 1 ÷ 판매단위당 낱개 수로 환산</t>
  </si>
  <si>
    <t>그 밖의 단위. 이름과 환산 계수를 직접 적기</t>
  </si>
  <si>
    <t>입출고기록 (S-03 대조의 재료)</t>
  </si>
  <si>
    <t>날짜별로 한 줄씩 기록합니다. 입출고의 방향은 '구분'으로 나타내고 수량은 양수로 적습니다(조정만 음수 가능). 출고는 택배사에 넘긴 날 한 번만 적습니다. 잘못된 줄은 지우지 말고 '반영'을 아니오로 바꾸고, 빠진 줄은 '기록 유형'을 정정추가로 해서 새 줄로 적습니다.</t>
  </si>
  <si>
    <t>입력된 줄</t>
  </si>
  <si>
    <t>점검 필요 줄</t>
  </si>
  <si>
    <t>문구가 '정상'이 아닌 줄의 오른쪽 점검 칸을 읽고 고치세요.</t>
  </si>
  <si>
    <t>날짜</t>
  </si>
  <si>
    <t>문서번호</t>
  </si>
  <si>
    <t>입력 수량</t>
  </si>
  <si>
    <t>입력 단위</t>
  </si>
  <si>
    <t>상태</t>
  </si>
  <si>
    <t>입고 단가(원/세트)</t>
  </si>
  <si>
    <t>반영</t>
  </si>
  <si>
    <t>기록 유형</t>
  </si>
  <si>
    <t>비고</t>
  </si>
  <si>
    <t>환산 계수</t>
  </si>
  <si>
    <t>수량(세트)</t>
  </si>
  <si>
    <t>점검</t>
  </si>
  <si>
    <t>점검 필요(1)</t>
  </si>
  <si>
    <t>재고점검 (S-02·S-03·S-04·S-05)</t>
  </si>
  <si>
    <t>실사 수량을 상태별로 적고, 입출고기록에서 계산한 기록상 수량과 대조하고, 팔 수 있는 수량과 재고에 묶인 돈을 구합니다. 연한 노랑 칸에만 적습니다.</t>
  </si>
  <si>
    <t>1. 실사 (S-02)</t>
  </si>
  <si>
    <t>장소</t>
  </si>
  <si>
    <t>처음 센 수량</t>
  </si>
  <si>
    <t>다시 센 수량</t>
  </si>
  <si>
    <t>차이(계산)</t>
  </si>
  <si>
    <t>확정 수량</t>
  </si>
  <si>
    <t>메모</t>
  </si>
  <si>
    <t>점검(계산)</t>
  </si>
  <si>
    <t>판매 가능 상태 확정 합계</t>
  </si>
  <si>
    <t>검수 중 확정 합계</t>
  </si>
  <si>
    <t>판매 불가 확정 합계</t>
  </si>
  <si>
    <t>실사 합계</t>
  </si>
  <si>
    <t>2. 기록상 흐름과 차이 (S-03 위쪽 표)</t>
  </si>
  <si>
    <t>항목</t>
  </si>
  <si>
    <t>방향</t>
  </si>
  <si>
    <t>장부에 적힌 그대로</t>
  </si>
  <si>
    <t>정정</t>
  </si>
  <si>
    <t>정정 뒤</t>
  </si>
  <si>
    <t>기초</t>
  </si>
  <si>
    <t>+</t>
  </si>
  <si>
    <t>입고</t>
  </si>
  <si>
    <t>반품</t>
  </si>
  <si>
    <t>출고(판매출고)</t>
  </si>
  <si>
    <t>−</t>
  </si>
  <si>
    <t>폐기</t>
  </si>
  <si>
    <t>조정</t>
  </si>
  <si>
    <t>±</t>
  </si>
  <si>
    <t>기록상 기말 수량</t>
  </si>
  <si>
    <t>실사 수량</t>
  </si>
  <si>
    <t>차이(실사 − 기록상)</t>
  </si>
  <si>
    <t>기준일 이후 날짜의 줄은 넣지 않습니다. '그대로' = 원본 줄 전부(반영 칸 무시), '정정 뒤' = 반영 아니오 줄을 빼고 정정추가 줄을 더한 값입니다.</t>
  </si>
  <si>
    <t>3. 차이 원인 점검 (S-03 아래쪽 표) — 영향은 장부가 클 때 +, 작을 때 −</t>
  </si>
  <si>
    <t>이유</t>
  </si>
  <si>
    <t>확인한 증빙</t>
  </si>
  <si>
    <t>발견 수량</t>
  </si>
  <si>
    <t>장부에 미치는 영향(±)</t>
  </si>
  <si>
    <t>정정 방법</t>
  </si>
  <si>
    <t>출고 누락</t>
  </si>
  <si>
    <t>중복 입력</t>
  </si>
  <si>
    <t>폐기 미기록</t>
  </si>
  <si>
    <t>반품 미반영·상태</t>
  </si>
  <si>
    <t>입고·단위 환산</t>
  </si>
  <si>
    <t>옵션 혼동</t>
  </si>
  <si>
    <t>실사 누락·중복</t>
  </si>
  <si>
    <t>원인 미확인</t>
  </si>
  <si>
    <t>위 모든 증빙을 확인한 뒤에도 남는 수량</t>
  </si>
  <si>
    <t>조정 줄(원인 미확인)로 기록</t>
  </si>
  <si>
    <t>남은 차이</t>
  </si>
  <si>
    <t>설명한 합계</t>
  </si>
  <si>
    <t>4. 판매 가능·예약·판매 불가 (S-04)</t>
  </si>
  <si>
    <t>판매 가능 상태 확정 수량</t>
  </si>
  <si>
    <t>예약(결제 완료·미출고) 합계</t>
  </si>
  <si>
    <t>판매 가능 수량</t>
  </si>
  <si>
    <t>검수 중</t>
  </si>
  <si>
    <t>판매 불가</t>
  </si>
  <si>
    <t>검수 예정일</t>
  </si>
  <si>
    <t>예약 주문 번호</t>
  </si>
  <si>
    <t>수량</t>
  </si>
  <si>
    <t>출고 줄에 이미 있나(계산)</t>
  </si>
  <si>
    <t>5. 재고 매입금액 (S-05) — 로트는 오래된 것부터 위에서 아래로</t>
  </si>
  <si>
    <t>로트</t>
  </si>
  <si>
    <t>공급가(원/세트)</t>
  </si>
  <si>
    <t>운임(원, 로트 전체)</t>
  </si>
  <si>
    <t>세트당 원가 직접 입력</t>
  </si>
  <si>
    <t>세트당 원가(계산)</t>
  </si>
  <si>
    <t>금액(계산)</t>
  </si>
  <si>
    <t>선입선출 남은 수량(계산)</t>
  </si>
  <si>
    <t>선입선출 금액(계산)</t>
  </si>
  <si>
    <t>빠진 수량(계산)</t>
  </si>
  <si>
    <t>(칸 구분용 빈 줄 — 입력하지 마세요)</t>
  </si>
  <si>
    <t>합계</t>
  </si>
  <si>
    <t>기준 단가 방법</t>
  </si>
  <si>
    <t>내 장부에 계속 같은 방법을 쓰세요. 회계·세무 평가 방법과 같다는 뜻이 아닙니다</t>
  </si>
  <si>
    <t>총평균 단가(원)</t>
  </si>
  <si>
    <t>선입선출 평균 단가(남은 수량 기준, 원)</t>
  </si>
  <si>
    <t>기준 단가(선택, 원)</t>
  </si>
  <si>
    <t>선입선출 열은 '입고 합계 − 실사 수량'을 빠진 수량으로 보고 오래된 로트부터 지운 나머지입니다. 반품·폐기·분실이 어느 로트였는지 기록이 없으면 이 약속을 따르고, 반품의 원래 주문 번호와 로트를 알면 그 로트 단가로 따로 평가하세요. 남은 수량이 여러 로트에 걸치면 기준 단가는 남은 로트의 가중평균입니다.</t>
  </si>
  <si>
    <t>기준 단가(원)</t>
  </si>
  <si>
    <t>매입금액(원)</t>
  </si>
  <si>
    <t>판매 가능</t>
  </si>
  <si>
    <t>예약</t>
  </si>
  <si>
    <t>선결제 미입고 합계(입고예정 시트)</t>
  </si>
  <si>
    <t>묶인 돈(관리용 계산) = 재고 매입금액 + 선결제 미입고</t>
  </si>
  <si>
    <t>한 세트를 팔았을 때 손에 남는 현금(참고, 원)</t>
  </si>
  <si>
    <t>판매 가능 수량 모두의 회수 가능한 현금(참고, 원)</t>
  </si>
  <si>
    <t>네 가지 숫자는 서로 다릅니다</t>
  </si>
  <si>
    <t>재고 매입금액</t>
  </si>
  <si>
    <t>위 5절의 계산. 관리용 값</t>
  </si>
  <si>
    <t>통장 잔액</t>
  </si>
  <si>
    <t>이 도구가 계산하지 않음. 매입금액과 맞출 수 없음</t>
  </si>
  <si>
    <t>회계상 재고자산 평가</t>
  </si>
  <si>
    <t>이 도구가 계산하지 않음. 세무·회계 담당자와 확인</t>
  </si>
  <si>
    <t>순이익</t>
  </si>
  <si>
    <t>이 도구가 계산하지 않음. 재고는 팔릴 때 비용이 됨</t>
  </si>
  <si>
    <t>회수 가능한 현금(참고)</t>
  </si>
  <si>
    <t>이익이 아님. 광고비·인건비·세금·못 파는 경우가 빠진 참고치</t>
  </si>
  <si>
    <t>6. 같은 재고에 붙는 세 가지 금액 (S-05) — 서로 같을 이유가 없습니다</t>
  </si>
  <si>
    <t>세트당(원)</t>
  </si>
  <si>
    <t>금액(원)</t>
  </si>
  <si>
    <t>근거·가정</t>
  </si>
  <si>
    <t>① 현재 재고에 배분한 매입금액</t>
  </si>
  <si>
    <t>기록상 로트 단가(위 5절의 기준 단가 방법). 새로 사는 값이 아님</t>
  </si>
  <si>
    <t>② 같은 수량을 새로 살 때 필요한 금액(참고)</t>
  </si>
  <si>
    <t>C98에 다음 주문의 세트당 원가(공급처 지금 가격표 기준, 운임 포함)를 직접 적습니다. 박스 단위로만 살 수 있으면 실제 금액은 달라집니다</t>
  </si>
  <si>
    <t>③ 판매 후 회수할 수 있는 현금(참고)</t>
  </si>
  <si>
    <t>판매 가능 수량만. 판매가·수수료율·포장·발송비는 상품·기준 시트의 가정이며 이익이 아님</t>
  </si>
  <si>
    <t>②와 ①의 차이(② − ①)</t>
  </si>
  <si>
    <t>7. 예약 재고의 금액 (S-05) — 매입금액·판매대금·예상 정산액·실제 입금액은 서로 다른 값입니다</t>
  </si>
  <si>
    <t>근거·확인 상태</t>
  </si>
  <si>
    <t>예약 매입금액</t>
  </si>
  <si>
    <t>예약 수량 × 기준 단가. 판매대금이 아닙니다</t>
  </si>
  <si>
    <t>주문 판매대금(주문서 결제액의 합)</t>
  </si>
  <si>
    <t>노란 칸에 적습니다. 모르면 '미확인'이라고 적으세요. 취소·반품이 있으면 달라집니다</t>
  </si>
  <si>
    <t>예상 정산액</t>
  </si>
  <si>
    <t>판매대금 × (1 − 수수료율)만 반영합니다. 그 밖의 공제·취소·반품·정산 조건은 반영하지 않습니다. 정산일은 가정하지 않습니다</t>
  </si>
  <si>
    <t>실제 입금액</t>
  </si>
  <si>
    <t>판매속도 (S-06·S-07)</t>
  </si>
  <si>
    <t>아래 3절의 날짜별 표에 품절·판매 중단·행사·제외 수량을 표시하면(출고 수량은 입출고기록에서 자동으로 가져옵니다), 1절에서 기간별 속도를, 2절에서 예상 소진 기간을 계산합니다. 속도 = (출고 수량 − 제외 수량) ÷ 판매 가능 일수. 일수는 내림한 참고치입니다(속도가 이어진다는 가정).</t>
  </si>
  <si>
    <t>1. 속도를 구할 기간 (S-07 위쪽 표) — 기간은 최대 4개</t>
  </si>
  <si>
    <t>이름</t>
  </si>
  <si>
    <t>시작일</t>
  </si>
  <si>
    <t>종료일</t>
  </si>
  <si>
    <t>행사일 처리</t>
  </si>
  <si>
    <t>달력 일수</t>
  </si>
  <si>
    <t>품절일</t>
  </si>
  <si>
    <t>중단일</t>
  </si>
  <si>
    <t>판매 가능 일수</t>
  </si>
  <si>
    <t>출고 수량</t>
  </si>
  <si>
    <t>제외 수량</t>
  </si>
  <si>
    <t>속도(세트/일)</t>
  </si>
  <si>
    <t>판정</t>
  </si>
  <si>
    <t>2. 예상 소진 기간 (S-07 아래쪽 표) — 참고치</t>
  </si>
  <si>
    <t>속도 이름</t>
  </si>
  <si>
    <t>예상 소진 일수(내림)</t>
  </si>
  <si>
    <t>마지막 판매 가능일</t>
  </si>
  <si>
    <t>재고가 없는 첫날</t>
  </si>
  <si>
    <t>3. 날짜별 기록 (S-06) — 출고 수량은 입출고기록에서 자동 계산, 나머지는 필요한 날만 적기</t>
  </si>
  <si>
    <t>출고 수량(세트)</t>
  </si>
  <si>
    <t>판매 상태</t>
  </si>
  <si>
    <t>행사</t>
  </si>
  <si>
    <t>입고예정 (S-08·S-09)</t>
  </si>
  <si>
    <t>지난 발주마다 발주일부터 판매 가능일(검수·포장을 마쳐 팔 수 있게 된 날)까지 걸린 날수를 기록하면 리드타임의 최소·최대가 나오고, 아직 오지 않은 주문은 현재고에 더하지 않고 수량·날짜로 따로 적어 공백을 점검합니다.</t>
  </si>
  <si>
    <t>1. 발주 이력과 미입고 (S-08·S-09)</t>
  </si>
  <si>
    <t>발주번호</t>
  </si>
  <si>
    <t>발주일</t>
  </si>
  <si>
    <t>선결제(원)</t>
  </si>
  <si>
    <t>발주 수량(세트)</t>
  </si>
  <si>
    <t>공급처 출하일</t>
  </si>
  <si>
    <t>입고일</t>
  </si>
  <si>
    <t>판매 가능일</t>
  </si>
  <si>
    <t>입고 수량(세트)</t>
  </si>
  <si>
    <t>불량 수량(세트)</t>
  </si>
  <si>
    <t>걸린 날수</t>
  </si>
  <si>
    <t>남은 수량</t>
  </si>
  <si>
    <t>미입고분 선결제(원)</t>
  </si>
  <si>
    <t>판매 가능 예상(빠름)</t>
  </si>
  <si>
    <t>판매 가능 예상(늦음)</t>
  </si>
  <si>
    <t>지연 시 늦음</t>
  </si>
  <si>
    <t>2. 리드타임 이력 (S-08 아래쪽)</t>
  </si>
  <si>
    <t>표본 수(걸린 날수가 있는 발주)</t>
  </si>
  <si>
    <t>최소(일)</t>
  </si>
  <si>
    <t>최대(일)</t>
  </si>
  <si>
    <t>평균(일)</t>
  </si>
  <si>
    <t>3. 미입고 합계와 첫 입고 전 공백 (S-09)</t>
  </si>
  <si>
    <t>선결제 미입고 합계(원)</t>
  </si>
  <si>
    <t>입고 예정 수량 합계(세트)</t>
  </si>
  <si>
    <t>가장 이른 판매 가능 예상(빠름)</t>
  </si>
  <si>
    <t>그 주문의 판매 가능 예상(늦음)</t>
  </si>
  <si>
    <t>지연 가정(일)</t>
  </si>
  <si>
    <t>지연 시 빠름</t>
  </si>
  <si>
    <t>공백(빠름)</t>
  </si>
  <si>
    <t>공백(늦음)</t>
  </si>
  <si>
    <t>공백(지연 빠름)</t>
  </si>
  <si>
    <t>공백(지연 늦음)</t>
  </si>
  <si>
    <t>4. 주문 기한 (5장) — 주문 기한 = 재고가 없는 첫날 − 최대 리드타임 − 여유 일수</t>
  </si>
  <si>
    <t>총 공급(도착 이후 계산용)</t>
  </si>
  <si>
    <t>최대 리드타임(일)</t>
  </si>
  <si>
    <t>총 공급 소진 일수(내림)</t>
  </si>
  <si>
    <t>주문 기한</t>
  </si>
  <si>
    <t>주문비교 (S-10)</t>
  </si>
  <si>
    <t>주문하지 않기·소량·기존 주문량을 투입 현금, 판매 가능 시점, 비교 시점의 남는 수량·못 팔 수량, 불확실성으로 같은 기준에서 비교합니다. 모든 계산은 '속도가 이어지고 입고 예정 주문이 정상 도착한다'는 가정 위의 참고치입니다.</t>
  </si>
  <si>
    <t>1. 비교에 쓰는 값 (대부분 다른 시트에서 가져옴)</t>
  </si>
  <si>
    <t>현재 판매 가능 수량(세트)</t>
  </si>
  <si>
    <t>재고점검 4절</t>
  </si>
  <si>
    <t>입고예정 3절. 도착 이후를 계산하는 값이라 '총 공급'에만 더함</t>
  </si>
  <si>
    <t>속도 1 이름</t>
  </si>
  <si>
    <t>판매속도 1절의 첫째 줄(예: 평소)</t>
  </si>
  <si>
    <t>속도 1(세트/일)</t>
  </si>
  <si>
    <t>속도 2 이름</t>
  </si>
  <si>
    <t>판매속도 1절의 둘째 줄(예: 최근 28일)</t>
  </si>
  <si>
    <t>속도 2(세트/일)</t>
  </si>
  <si>
    <t>행사가 없다는 가정의 두 속도를 쓰세요</t>
  </si>
  <si>
    <t>상품·기준 3절. 사례의 60일은 임의 값</t>
  </si>
  <si>
    <t>발주 예정일</t>
  </si>
  <si>
    <t>새로 주문한다고 가정한 날</t>
  </si>
  <si>
    <t>리드타임 최소(일)</t>
  </si>
  <si>
    <t>리드타임 최대(일)</t>
  </si>
  <si>
    <t>환산 계수(박스당 세트)</t>
  </si>
  <si>
    <t>남는 재고의 세트당 원가(원)</t>
  </si>
  <si>
    <t>남는 수량이 새 주문분을 넘을 때 초과분에 쓰는 단가(재고점검의 기준 단가). 입고 예정 주문의 단가는 따로 반영하지 않는 단순화</t>
  </si>
  <si>
    <t>비교 시점 날짜</t>
  </si>
  <si>
    <t>기준일 + 비교 일수</t>
  </si>
  <si>
    <t>2. 주문안 입력과 계산</t>
  </si>
  <si>
    <t>안 이름</t>
  </si>
  <si>
    <t>박스 수</t>
  </si>
  <si>
    <t>0이면 추가 주문 없음. 최소 주문수량 미만이면 점검 문구가 알림</t>
  </si>
  <si>
    <t>박스당 운임(원)</t>
  </si>
  <si>
    <t>세트 수</t>
  </si>
  <si>
    <t>추가 매입자금(원)</t>
  </si>
  <si>
    <t>공급가 × 세트 수 + 박스당 운임 × 박스 수</t>
  </si>
  <si>
    <t>세트당 원가(원)</t>
  </si>
  <si>
    <t>최소 주문수량 점검</t>
  </si>
  <si>
    <t>판매 가능 시점(빠름)</t>
  </si>
  <si>
    <t>판매 가능 시점(늦음)</t>
  </si>
  <si>
    <t>총 공급(세트)</t>
  </si>
  <si>
    <t>현재 판매 가능 + 입고 예정 + 새 주문(모두 정상 도착 가정)</t>
  </si>
  <si>
    <t>소진 일수 — 속도 1(내림)</t>
  </si>
  <si>
    <t>마지막 판매 가능일 — 속도 1</t>
  </si>
  <si>
    <t>소진 일수 — 속도 2(내림)</t>
  </si>
  <si>
    <t>마지막 판매 가능일 — 속도 2</t>
  </si>
  <si>
    <t>비교 시점 남는 수량 — 속도 1(세트)</t>
  </si>
  <si>
    <t>총 공급 − 속도 × 비교 일수(음수면 0)</t>
  </si>
  <si>
    <t>비교 시점 못 팔 수량 — 속도 1(세트)</t>
  </si>
  <si>
    <t>속도 × 비교 일수 − 총 공급(음수면 0)</t>
  </si>
  <si>
    <t>남는 재고에 묶인 돈 — 속도 1(원)</t>
  </si>
  <si>
    <t>선입선출 가정: 남는 수량이 새 주문분 이하면 모두 새 주문의 세트당 원가, 넘으면 초과분은 위 '남는 재고의 세트당 원가'(입고 예정 주문의 단가는 반영하지 않는 단순화)</t>
  </si>
  <si>
    <t>비교 시점 남는 수량 — 속도 2(세트)</t>
  </si>
  <si>
    <t>비교 시점 못 팔 수량 — 속도 2(세트)</t>
  </si>
  <si>
    <t>남는 재고에 묶인 돈 — 속도 2(원)</t>
  </si>
  <si>
    <t>가장 약한 지점</t>
  </si>
  <si>
    <t>바뀌면 다시 볼 조건</t>
  </si>
  <si>
    <t>장기재고 (S-11)</t>
  </si>
  <si>
    <t>오래 팔리지 않는 상품 한 가지를 따로 점검합니다(집게 같은 주력 상품과 합치지 않음). 대안은 예측이 아니라 '목표 기간에 모두 팔려면 필요한 속도'와 '모두 팔렸을 때 회수 현금'으로 비교합니다. 기준 일수와 목표 기간은 내 값으로 정하세요.</t>
  </si>
  <si>
    <t>1. 보유 현황 입력</t>
  </si>
  <si>
    <t>수량(판매 가능, 세트)</t>
  </si>
  <si>
    <t>판매 불가·검수 중은 빼고 적기</t>
  </si>
  <si>
    <t>마지막 판매일</t>
  </si>
  <si>
    <t>상품·기준의 기준일</t>
  </si>
  <si>
    <t>최근 일정 기간(일)</t>
  </si>
  <si>
    <t>사례 90</t>
  </si>
  <si>
    <t>그 기간의 판매 수량(세트)</t>
  </si>
  <si>
    <t>0.10처럼 소수</t>
  </si>
  <si>
    <t>장기 보유 기준 일수(내 값)</t>
  </si>
  <si>
    <t>경과일이 이 값 이상이면 점검 대상. 사례 60은 임의 값</t>
  </si>
  <si>
    <t>목표 소진 기간(일, 내 값)</t>
  </si>
  <si>
    <t>2. 계산</t>
  </si>
  <si>
    <t>재고에 묶인 돈(원)</t>
  </si>
  <si>
    <t>수량 × 세트당 원가</t>
  </si>
  <si>
    <t>경과일(마지막 판매 후)</t>
  </si>
  <si>
    <t>기준일 − 마지막 판매일</t>
  </si>
  <si>
    <t>점검 대상인가</t>
  </si>
  <si>
    <t>최근 기간 평균 속도(세트/일)</t>
  </si>
  <si>
    <t>평균은 판매가 멈춘 시기를 가릴 수 있으니 경과일과 같이 보기</t>
  </si>
  <si>
    <t>소진 예상(일, 참고)</t>
  </si>
  <si>
    <t>평균 속도가 이어진다는 가정</t>
  </si>
  <si>
    <t>한 세트 회수 현금(현재 가격, 참고, 원)</t>
  </si>
  <si>
    <t>판매가 × (1 − 수수료율) − 포장·발송비. 이익이 아님</t>
  </si>
  <si>
    <t>필요한 속도(세트/일)</t>
  </si>
  <si>
    <t>수량 ÷ 목표 소진 기간. 예측이 아님</t>
  </si>
  <si>
    <t>3. 정리 대안 비교 (S-11)</t>
  </si>
  <si>
    <t>대안</t>
  </si>
  <si>
    <t>판매가(원)</t>
  </si>
  <si>
    <t>주문당 세트 수</t>
  </si>
  <si>
    <t>건당 현금(원)</t>
  </si>
  <si>
    <t>세트당 현금(원)</t>
  </si>
  <si>
    <t>필요 속도</t>
  </si>
  <si>
    <t>현재 속도의 배수</t>
  </si>
  <si>
    <t>모두 팔렸을 때 회수 현금(원)</t>
  </si>
  <si>
    <t>묶인 돈 대비(원)</t>
  </si>
  <si>
    <t>되돌릴 수 있나</t>
  </si>
  <si>
    <t>회수 현금은 목표 기간에 모두 팔렸을 때의 상한입니다. 실제 판매량은 시험으로 확인하세요.</t>
  </si>
  <si>
    <t>4. 시험 계획</t>
  </si>
  <si>
    <t>시험할 대안</t>
  </si>
  <si>
    <t>시험 기간(일)</t>
  </si>
  <si>
    <t>사례 14</t>
  </si>
  <si>
    <t>계속할 기준(글)</t>
  </si>
  <si>
    <t>시작 전에 적기</t>
  </si>
  <si>
    <t>기준 미달 때</t>
  </si>
  <si>
    <t>판단 날짜</t>
  </si>
  <si>
    <t>기준 판매량(세트, 올림)</t>
  </si>
  <si>
    <t>필요 속도 × 시험 기간을 올림한 값. 사례 기준은 임의</t>
  </si>
  <si>
    <t>실행기록 (S-12)</t>
  </si>
  <si>
    <t>결정은 한 줄에 하나씩, 날짜별로 쌓아 두세요(덮어쓰지 않기). 재점검 날짜에는 '재점검 결과' 칸을 채웁니다. 위쪽 요약 칸은 지금 도구의 숫자를 가져온 것이니 근거 칸에 옮겨 적을 때 참고하세요.</t>
  </si>
  <si>
    <t>지금의 숫자(참고, 계산)</t>
  </si>
  <si>
    <t>판매 가능 수량(세트)</t>
  </si>
  <si>
    <t>속도 1·2(세트/일)</t>
  </si>
  <si>
    <t>예상 소진 일수 1·2</t>
  </si>
  <si>
    <t>입고 예정 판매 가능(빠름, 늦음)</t>
  </si>
  <si>
    <t>주문 기한 1·2</t>
  </si>
  <si>
    <t>기록</t>
  </si>
  <si>
    <t>판단일</t>
  </si>
  <si>
    <t>상품</t>
  </si>
  <si>
    <t>선택한 행동(한 문장)</t>
  </si>
  <si>
    <t>근거 1</t>
  </si>
  <si>
    <t>근거 2</t>
  </si>
  <si>
    <t>근거 3</t>
  </si>
  <si>
    <t>가정</t>
  </si>
  <si>
    <t>중단·변경 조건 1</t>
  </si>
  <si>
    <t>조건 2</t>
  </si>
  <si>
    <t>조건 3</t>
  </si>
  <si>
    <t>재점검 날짜 1</t>
  </si>
  <si>
    <t>재점검 날짜 2</t>
  </si>
  <si>
    <t>갱신할 양식</t>
  </si>
  <si>
    <t>재점검 결과(나중에 적기)</t>
  </si>
  <si>
    <t>작성완료예시 — 윤서(가상)의 스테인리스 다용도 집게 10개입 세트</t>
  </si>
  <si>
    <t>가상 사례입니다. 실제 판매 성과가 아닙니다. 이 시트의 값은 입력값으로만 쓰이며 다른 시트와 연결되어 있지 않습니다. 연습하려면 아래 입력 표를 해당 시트의 같은 칸에 입력하고, 위쪽 '결과' 표와 도구의 값이 같은지 비교해 보세요.</t>
  </si>
  <si>
    <t>A. 이 입력을 넣으면 나와야 하는 결과 (책의 숫자와 같음)</t>
  </si>
  <si>
    <t>값</t>
  </si>
  <si>
    <t>어디서(양식·시트)</t>
  </si>
  <si>
    <t>기록상 기말 수량 — 장부에 적힌 그대로(세트)</t>
  </si>
  <si>
    <t>S-03 · 재고점검 C27</t>
  </si>
  <si>
    <t>실사 수량(세트)</t>
  </si>
  <si>
    <t>S-02 · 재고점검 F17</t>
  </si>
  <si>
    <t>S-03 · 재고점검 C29</t>
  </si>
  <si>
    <t>정정 뒤 기록상 기말 수량(세트)</t>
  </si>
  <si>
    <t>S-03 · 재고점검 E27(조정 −1 포함)</t>
  </si>
  <si>
    <t>원인 미확인으로 남은 차이(세트)</t>
  </si>
  <si>
    <t>S-03 · 재고점검 D40</t>
  </si>
  <si>
    <t>S-04 · 재고점검 B47</t>
  </si>
  <si>
    <t>재고 매입금액 선입선출(원)</t>
  </si>
  <si>
    <t>S-05 · 재고점검 D81</t>
  </si>
  <si>
    <t>S-05 · 재고점검 C72</t>
  </si>
  <si>
    <t>선결제 미입고(원)</t>
  </si>
  <si>
    <t>S-05 · 재고점검 D83</t>
  </si>
  <si>
    <t>묶인 돈(관리용, 원)</t>
  </si>
  <si>
    <t>S-05 · 재고점검 D84</t>
  </si>
  <si>
    <t>재매입 필요금액(참고, 원) 6,750 / 6,450 기준</t>
  </si>
  <si>
    <t>168,750 / 161,250</t>
  </si>
  <si>
    <t>S-05 · 재고점검 D98</t>
  </si>
  <si>
    <t>예약 예상 정산액(원, 결제액 51,600 기준)</t>
  </si>
  <si>
    <t>46,440</t>
  </si>
  <si>
    <t>S-05 · 재고점검 D106</t>
  </si>
  <si>
    <t>선입선출 로트별 빠진 수량(세트)</t>
  </si>
  <si>
    <t>24 / 36 / 35</t>
  </si>
  <si>
    <t>S-05 · 재고점검 J63~J65</t>
  </si>
  <si>
    <t>한 세트 회수 현금(참고, 원)</t>
  </si>
  <si>
    <t>S-05 · 재고점검 D85</t>
  </si>
  <si>
    <t>속도 — 평소(세트/일)</t>
  </si>
  <si>
    <t>S-07 · 판매속도 K6</t>
  </si>
  <si>
    <t>속도 — 최근 28일(세트/일)</t>
  </si>
  <si>
    <t>S-07 · 판매속도 K7</t>
  </si>
  <si>
    <t>속도 — 행사(세트/일)</t>
  </si>
  <si>
    <t>S-07 · 판매속도 K8</t>
  </si>
  <si>
    <t>예상 소진 일수 평소/최근/행사</t>
  </si>
  <si>
    <t>18 / 16 / 8</t>
  </si>
  <si>
    <t>S-07 · 판매속도 D13~D15</t>
  </si>
  <si>
    <t>마지막 판매 가능일 평소/최근/행사</t>
  </si>
  <si>
    <t>10-18 / 10-16 / 10-08</t>
  </si>
  <si>
    <t>S-07 · 판매속도 E13~E15</t>
  </si>
  <si>
    <t>재고가 없는 첫날 평소/최근/행사</t>
  </si>
  <si>
    <t>10-19 / 10-17 / 10-09</t>
  </si>
  <si>
    <t>S-07 · 판매속도 F13~F15</t>
  </si>
  <si>
    <t>리드타임 표본/최소/최대/평균(일)</t>
  </si>
  <si>
    <t>2건 / 14 / 17 / 15.5</t>
  </si>
  <si>
    <t>S-08 · 입고예정 C20~C23</t>
  </si>
  <si>
    <t>PO-3 판매 가능 예상(빠름~늦음)</t>
  </si>
  <si>
    <t>10-12 ~ 10-15</t>
  </si>
  <si>
    <t>S-09 · 입고예정 C29~C30</t>
  </si>
  <si>
    <t>공백 일수 평소 속도(빠름/늦음/지연 빠름/지연 늦음)</t>
  </si>
  <si>
    <t>0 / 0 / 0 / 3</t>
  </si>
  <si>
    <t>S-09 · 입고예정 D36~G36</t>
  </si>
  <si>
    <t>공백 일수 최근 속도(…)</t>
  </si>
  <si>
    <t>0 / 0 / 2 / 5</t>
  </si>
  <si>
    <t>S-09 · 입고예정 D37~G37</t>
  </si>
  <si>
    <t>공백 일수 행사 속도(…)</t>
  </si>
  <si>
    <t>3 / 6 / 10 / 13</t>
  </si>
  <si>
    <t>S-09 · 입고예정 D38~G38</t>
  </si>
  <si>
    <t>주문 기한 평소/최근/행사</t>
  </si>
  <si>
    <t>11-03 / 10-28 / 10-03</t>
  </si>
  <si>
    <t>5장 · 입고예정 E49~E51</t>
  </si>
  <si>
    <t>주문안 B 추가 매입자금 / 세트당 원가(원)</t>
  </si>
  <si>
    <t>162,000 / 6,750</t>
  </si>
  <si>
    <t>S-10 · 주문비교 D26~D27</t>
  </si>
  <si>
    <t>주문안 C 추가 매입자금 / 세트당 원가(원)</t>
  </si>
  <si>
    <t>387,000 / 6,450</t>
  </si>
  <si>
    <t>S-10 · 주문비교 E26~E27</t>
  </si>
  <si>
    <t>총 공급 A/B/C(세트)</t>
  </si>
  <si>
    <t>53 / 77 / 113</t>
  </si>
  <si>
    <t>S-10 · 주문비교 C31~E31</t>
  </si>
  <si>
    <t>소진 일수 평소 A/B/C</t>
  </si>
  <si>
    <t>57 / 83 / 122</t>
  </si>
  <si>
    <t>S-10 · 주문비교 C32~E32</t>
  </si>
  <si>
    <t>소진 일수 최근 A/B/C</t>
  </si>
  <si>
    <t>51 / 74 / 108</t>
  </si>
  <si>
    <t>S-10 · 주문비교 C34~E34</t>
  </si>
  <si>
    <t>60일 뒤 남는 수량 평소 A/B/C(세트)</t>
  </si>
  <si>
    <t>0 / 21.8 / 57.8</t>
  </si>
  <si>
    <t>S-10 · 주문비교 C36~E36</t>
  </si>
  <si>
    <t>60일 뒤 남는 수량 최근 A/B/C(세트)</t>
  </si>
  <si>
    <t>0 / 14.7 / 50.7</t>
  </si>
  <si>
    <t>S-10 · 주문비교 C39~E39</t>
  </si>
  <si>
    <t>60일 뒤 못 팔 수량 최근 A(세트)</t>
  </si>
  <si>
    <t>9.3</t>
  </si>
  <si>
    <t>S-10 · 주문비교 C40</t>
  </si>
  <si>
    <t>장기재고 묶인 돈 / 경과일</t>
  </si>
  <si>
    <t>159,600원 / 66일</t>
  </si>
  <si>
    <t>S-11 · 장기재고 C18~C19</t>
  </si>
  <si>
    <t>장기재고 필요 속도 / 현재 속도의 배수</t>
  </si>
  <si>
    <t>0.4222 / 5.4</t>
  </si>
  <si>
    <t>S-11 · 장기재고 C24, H28</t>
  </si>
  <si>
    <t>② 20% 인하 모두 팔렸을 때 회수 현금 / 묶인 돈 대비(원)</t>
  </si>
  <si>
    <t>179,664 / +20,064</t>
  </si>
  <si>
    <t>S-11 · 장기재고 I29, J29</t>
  </si>
  <si>
    <t>B. 입력 — 입출고기록 시트 7행부터 같은 칸(A~J)에 붙여 넣기. 마지막 4줄은 정정추가, 중복 한 줄은 반영 아니오</t>
  </si>
  <si>
    <t>OPEN</t>
  </si>
  <si>
    <t>세트</t>
  </si>
  <si>
    <t>전 분기에서 넘어온 수량(운임 포함 단가 기록값)</t>
  </si>
  <si>
    <t>판매출고</t>
  </si>
  <si>
    <t>O-0701-01</t>
  </si>
  <si>
    <t>O-0704-01</t>
  </si>
  <si>
    <t>O-0704-02</t>
  </si>
  <si>
    <t>O-0705-01</t>
  </si>
  <si>
    <t>O-0705-02</t>
  </si>
  <si>
    <t>O-0706-01</t>
  </si>
  <si>
    <t>O-0707-01</t>
  </si>
  <si>
    <t>PO-1</t>
  </si>
  <si>
    <t>박스</t>
  </si>
  <si>
    <t>3박스 입고(공급가 6,200원×36+운임 9,000원)</t>
  </si>
  <si>
    <t>O-0708-01</t>
  </si>
  <si>
    <t>입고 검수 불량 2세트 폐기</t>
  </si>
  <si>
    <t>O-0709-01</t>
  </si>
  <si>
    <t>O-0710-01</t>
  </si>
  <si>
    <t>O-0713-01</t>
  </si>
  <si>
    <t>O-0713-02</t>
  </si>
  <si>
    <t>O-0713-03</t>
  </si>
  <si>
    <t>O-0714-01</t>
  </si>
  <si>
    <t>O-0720-01</t>
  </si>
  <si>
    <t>O-0721-01</t>
  </si>
  <si>
    <t>O-0721-02</t>
  </si>
  <si>
    <t>O-0721-03</t>
  </si>
  <si>
    <t>대량 주문(1건 12세트)</t>
  </si>
  <si>
    <t>O-0722-01</t>
  </si>
  <si>
    <t>O-0724-01</t>
  </si>
  <si>
    <t>R-0725</t>
  </si>
  <si>
    <t>검수 후 재판매 가능으로 판정</t>
  </si>
  <si>
    <t>O-0726-01</t>
  </si>
  <si>
    <t>O-0726-02</t>
  </si>
  <si>
    <t>O-0728-01</t>
  </si>
  <si>
    <t>O-0731-01</t>
  </si>
  <si>
    <t>O-0801-01</t>
  </si>
  <si>
    <t>O-0802-01</t>
  </si>
  <si>
    <t>O-0803-01</t>
  </si>
  <si>
    <t>O-0803-02</t>
  </si>
  <si>
    <t>O-0803-03</t>
  </si>
  <si>
    <t>O-0804-01</t>
  </si>
  <si>
    <t>O-0805-01</t>
  </si>
  <si>
    <t>O-0805-02</t>
  </si>
  <si>
    <t>O-0806-01</t>
  </si>
  <si>
    <t>O-0807-01</t>
  </si>
  <si>
    <t>O-0807-02</t>
  </si>
  <si>
    <t>R-0806</t>
  </si>
  <si>
    <t>검수 결과 파손, 불량 상자에 보관</t>
  </si>
  <si>
    <t>O-0809-01</t>
  </si>
  <si>
    <t>O-0809-02</t>
  </si>
  <si>
    <t>O-0810-01</t>
  </si>
  <si>
    <t>O-0811-01</t>
  </si>
  <si>
    <t>PO-2</t>
  </si>
  <si>
    <t>5박스 입고(공급가 6,500원×60+운임 15,000원)</t>
  </si>
  <si>
    <t>개봉 중 파손 1세트 폐기</t>
  </si>
  <si>
    <t>O-0824-01</t>
  </si>
  <si>
    <t>O-0829-01</t>
  </si>
  <si>
    <t>O-0830-01</t>
  </si>
  <si>
    <t>O-0901-01</t>
  </si>
  <si>
    <t>O-0902-01</t>
  </si>
  <si>
    <t>O-0902-02</t>
  </si>
  <si>
    <t>O-0904-01</t>
  </si>
  <si>
    <t>O-0906-01</t>
  </si>
  <si>
    <t>O-0907-01</t>
  </si>
  <si>
    <t>O-0908-01</t>
  </si>
  <si>
    <t>O-0913-01</t>
  </si>
  <si>
    <t>O-0914-01</t>
  </si>
  <si>
    <t>O-0915-01</t>
  </si>
  <si>
    <t>O-0915-02</t>
  </si>
  <si>
    <t>O-0916-01</t>
  </si>
  <si>
    <t>아니오</t>
  </si>
  <si>
    <t>O-0917-01</t>
  </si>
  <si>
    <t>O-0917-02</t>
  </si>
  <si>
    <t>O-0918-01</t>
  </si>
  <si>
    <t>O-0919-01</t>
  </si>
  <si>
    <t>O-0920-01</t>
  </si>
  <si>
    <t>O-0921-01</t>
  </si>
  <si>
    <t>O-0924-01</t>
  </si>
  <si>
    <t>R-0928</t>
  </si>
  <si>
    <t>접수만 하고 검수 전</t>
  </si>
  <si>
    <t>O-0928-01</t>
  </si>
  <si>
    <t>O-0928-02</t>
  </si>
  <si>
    <t>O-0929-01</t>
  </si>
  <si>
    <t>O-0929-02</t>
  </si>
  <si>
    <t>O-0922-01</t>
  </si>
  <si>
    <t>정정추가</t>
  </si>
  <si>
    <t>택배 발송 내역에는 있으나 장부에 누락</t>
  </si>
  <si>
    <t>O-0925-01</t>
  </si>
  <si>
    <t>D-0909</t>
  </si>
  <si>
    <t>보관 중 훼손으로 버렸으나 장부에 누락</t>
  </si>
  <si>
    <t>ADJ-0930</t>
  </si>
  <si>
    <t>증빙을 모두 확인했으나 원인 미확인</t>
  </si>
  <si>
    <t>C. 입력 — 판매속도 시트 3절의 날짜별 표(해당 날짜 줄의 C·D·E 칸). 표시가 없는 날은 비워 둠</t>
  </si>
  <si>
    <t>품절</t>
  </si>
  <si>
    <t>판매중단</t>
  </si>
  <si>
    <t>D. 입력 — 상품·기준 시트(왼쪽 항목 이름과 같은 줄의 값 칸)</t>
  </si>
  <si>
    <t>스테인리스 다용도 집게 10개입 세트(가상)</t>
  </si>
  <si>
    <t>없음(단일 옵션)</t>
  </si>
  <si>
    <t>1세트(집게 10개)</t>
  </si>
  <si>
    <t>구매 단위당 판매단위 수</t>
  </si>
  <si>
    <t>5개입 세트는 다른 상품으로 따로 점검</t>
  </si>
  <si>
    <t>가상마켓 한 곳</t>
  </si>
  <si>
    <t>출고 내역·입고 명세서·반품 기록·발주 기록 폴더</t>
  </si>
  <si>
    <t>낱개 단위 이름(단위 표 3행)</t>
  </si>
  <si>
    <t>낱개</t>
  </si>
  <si>
    <t>E. 입력 — 재고점검 시트 1절 실사(A·B·C·D·F·G 칸, 6행부터)</t>
  </si>
  <si>
    <t>선반</t>
  </si>
  <si>
    <t>처음에 한 줄을 건너뜀</t>
  </si>
  <si>
    <t>포장대(예약 4세트 포함)</t>
  </si>
  <si>
    <t>예약 4세트</t>
  </si>
  <si>
    <t>반품 상자</t>
  </si>
  <si>
    <t>9월 28일 접수, 열지 않음</t>
  </si>
  <si>
    <t>불량 상자</t>
  </si>
  <si>
    <t>8월 반품 중 파손</t>
  </si>
  <si>
    <t>F. 입력 — 재고점검 시트 3절 원인 점검(B·C·D·E·F 칸, 33행부터)</t>
  </si>
  <si>
    <t>택배 발송 내역과 장부 대조</t>
  </si>
  <si>
    <t>출고 줄 두 개 추가</t>
  </si>
  <si>
    <t>정정 완료</t>
  </si>
  <si>
    <t>같은 주문 번호가 두 줄</t>
  </si>
  <si>
    <t>한 줄을 반영 아니오로</t>
  </si>
  <si>
    <t>9월 9일 메모와 사진</t>
  </si>
  <si>
    <t>폐기 줄 추가</t>
  </si>
  <si>
    <t>반품 접수 기록</t>
  </si>
  <si>
    <t>이상 없음</t>
  </si>
  <si>
    <t>확인</t>
  </si>
  <si>
    <t>거래명세서</t>
  </si>
  <si>
    <t>옵션이 하나뿐</t>
  </si>
  <si>
    <t>해당 없음</t>
  </si>
  <si>
    <t>센 곳 4곳</t>
  </si>
  <si>
    <t>G. 입력 — 재고점검 시트 4절 예약(A·B 칸, 52행부터)과 검수 예정일(B50)</t>
  </si>
  <si>
    <t>O-0930-01</t>
  </si>
  <si>
    <t>O-0930-02</t>
  </si>
  <si>
    <t>O-0930-03</t>
  </si>
  <si>
    <t>H. 입력 — 재고점검 시트 5절 로트(A·B·C·D·E 칸, 63행부터)와 기준 단가 방법(C71)</t>
  </si>
  <si>
    <t>운임(원)</t>
  </si>
  <si>
    <t>선입선출</t>
  </si>
  <si>
    <t>I. 입력 — 판매속도 시트 1절 기간(A·B·C·D 칸, 6행부터)</t>
  </si>
  <si>
    <t>평소(행사·대량 제외)</t>
  </si>
  <si>
    <t>제외</t>
  </si>
  <si>
    <t>최근 28일</t>
  </si>
  <si>
    <t>포함</t>
  </si>
  <si>
    <t>행사일만</t>
  </si>
  <si>
    <t>J. 입력 — 입고예정 시트(A~J 칸, 7행부터)</t>
  </si>
  <si>
    <t>입고 검수 불량 2세트</t>
  </si>
  <si>
    <t>개봉 중 파손 1세트</t>
  </si>
  <si>
    <t>PO-3</t>
  </si>
  <si>
    <t>선결제, 도착 전</t>
  </si>
  <si>
    <t>K. 입력 — 주문비교 시트(발주 예정일 C12, 안 입력 C~E열 21~24행·43~44행)</t>
  </si>
  <si>
    <t>A안</t>
  </si>
  <si>
    <t>B안</t>
  </si>
  <si>
    <t>C안</t>
  </si>
  <si>
    <t>A 주문하지 않기</t>
  </si>
  <si>
    <t>B 소량</t>
  </si>
  <si>
    <t>C 기존 주문량</t>
  </si>
  <si>
    <t>PO-3이 많이 늦으면 공백</t>
  </si>
  <si>
    <t>세트당 원가가 높고 여유가 작음</t>
  </si>
  <si>
    <t>속도가 떨어지면 오래 묶임</t>
  </si>
  <si>
    <t>PO-3 판매 가능이 10월 15일을 넘기면 S-09를 다시 계산</t>
  </si>
  <si>
    <t>가격표가 바뀌면 S-05를 다시 계산</t>
  </si>
  <si>
    <t>최근 14일 속도가 평소보다 낮아지면 S-07을 다시 계산</t>
  </si>
  <si>
    <t>L. 입력 — 장기재고 시트(C5~C16, 대안 28행부터, 시험 계획 C38~C42)</t>
  </si>
  <si>
    <t>리본 포장 키트(가상)</t>
  </si>
  <si>
    <t>장기 보유 기준 일수</t>
  </si>
  <si>
    <t>목표 소진 기간(일)</t>
  </si>
  <si>
    <t>② 20% 인하</t>
  </si>
  <si>
    <t>계속할 기준</t>
  </si>
  <si>
    <t>14일 동안 필요 판매량 이상</t>
  </si>
  <si>
    <t>④ 2개 묶음가 시험 후 일부 정리 검토</t>
  </si>
  <si>
    <t>M. 입력 — 장기재고 시트 3절 대안(A·C·D·K 칸, 28행부터)</t>
  </si>
  <si>
    <t>① 가격 유지</t>
  </si>
  <si>
    <t>가능</t>
  </si>
  <si>
    <t>③ 30% 인하</t>
  </si>
  <si>
    <t>④ 2개 묶음가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</si>
</sst>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yyyy\-mm\-dd"/>
    <numFmt numFmtId="177" formatCode="0.####"/>
    <numFmt numFmtId="178" formatCode="#,##0;\-#,##0"/>
    <numFmt numFmtId="179" formatCode="\+#,##0;\-#,##0;0"/>
    <numFmt numFmtId="180" formatCode="0.0"/>
    <numFmt numFmtId="181" formatCode="0.0000"/>
    <numFmt numFmtId="182" formatCode="#,##0.0;[Red]\-#,##0.0"/>
  </numFmts>
  <fonts count="12">
    <font>
      <sz val="11"/>
      <color theme="1"/>
      <name val="맑은 고딕"/>
      <family val="2"/>
      <scheme val="minor"/>
    </font>
    <font>
      <b/>
      <sz val="14"/>
      <color rgb="FF14233F"/>
      <name val="Malgun Gothic"/>
      <family val="2"/>
      <charset val="129"/>
    </font>
    <font>
      <sz val="10"/>
      <color rgb="FF404040"/>
      <name val="Malgun Gothic"/>
      <family val="2"/>
      <charset val="129"/>
    </font>
    <font>
      <b/>
      <sz val="11"/>
      <color rgb="FF14233F"/>
      <name val="Malgun Gothic"/>
      <family val="2"/>
      <charset val="129"/>
    </font>
    <font>
      <b/>
      <sz val="10"/>
      <color rgb="FF000000"/>
      <name val="Malgun Gothic"/>
      <family val="2"/>
      <charset val="129"/>
    </font>
    <font>
      <b/>
      <sz val="9"/>
      <color rgb="FFB8412A"/>
      <name val="Malgun Gothic"/>
      <family val="2"/>
      <charset val="129"/>
    </font>
    <font>
      <sz val="10"/>
      <color rgb="FF1F3A93"/>
      <name val="Malgun Gothic"/>
      <family val="2"/>
      <charset val="129"/>
    </font>
    <font>
      <sz val="10"/>
      <color rgb="FF000000"/>
      <name val="Malgun Gothic"/>
      <family val="2"/>
      <charset val="129"/>
    </font>
    <font>
      <b/>
      <sz val="10"/>
      <color rgb="FFFFFFFF"/>
      <name val="Malgun Gothic"/>
      <family val="2"/>
      <charset val="129"/>
    </font>
    <font>
      <b/>
      <sz val="9"/>
      <color rgb="FF404040"/>
      <name val="Malgun Gothic"/>
      <family val="2"/>
      <charset val="129"/>
    </font>
    <font>
      <sz val="10"/>
      <color rgb="FF7F7F7F"/>
      <name val="Malgun Gothic"/>
      <family val="2"/>
      <charset val="129"/>
    </font>
    <font>
      <sz val="8"/>
      <name val="맑은 고딕"/>
      <family val="3"/>
      <charset val="129"/>
      <scheme val="minor"/>
    </font>
  </fonts>
  <fills count="7">
    <fill>
      <patternFill patternType="none"/>
    </fill>
    <fill>
      <patternFill patternType="gray125"/>
    </fill>
    <fill>
      <patternFill patternType="solid">
        <fgColor rgb="FFFBF6EC"/>
      </patternFill>
    </fill>
    <fill>
      <patternFill patternType="solid">
        <fgColor rgb="FFFDEEE8"/>
      </patternFill>
    </fill>
    <fill>
      <patternFill patternType="solid">
        <fgColor rgb="FFFFF2CC"/>
      </patternFill>
    </fill>
    <fill>
      <patternFill patternType="solid">
        <fgColor rgb="FF14233F"/>
      </patternFill>
    </fill>
    <fill>
      <patternFill patternType="solid">
        <fgColor rgb="FFE7E6E6"/>
      </patternFill>
    </fill>
  </fills>
  <borders count="5">
    <border>
      <left/>
      <right/>
      <top/>
      <bottom/>
      <diagonal/>
    </border>
    <border>
      <left style="thin">
        <color rgb="FFA6A6A6"/>
      </left>
      <right style="thin">
        <color rgb="FFA6A6A6"/>
      </right>
      <top style="thin">
        <color rgb="FFA6A6A6"/>
      </top>
      <bottom style="thin">
        <color rgb="FFA6A6A6"/>
      </bottom>
      <diagonal/>
    </border>
    <border>
      <left style="dashed">
        <color rgb="FF7F6000"/>
      </left>
      <right style="dashed">
        <color rgb="FF7F6000"/>
      </right>
      <top style="dashed">
        <color rgb="FF7F6000"/>
      </top>
      <bottom style="dashed">
        <color rgb="FF7F6000"/>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s>
  <cellStyleXfs count="1">
    <xf numFmtId="0" fontId="0" fillId="0" borderId="0"/>
  </cellStyleXfs>
  <cellXfs count="51">
    <xf numFmtId="0" fontId="0" fillId="0" borderId="0" xfId="0"/>
    <xf numFmtId="0" fontId="4" fillId="0" borderId="1" xfId="0" applyFont="1" applyBorder="1" applyAlignment="1">
      <alignment vertical="top" wrapText="1"/>
    </xf>
    <xf numFmtId="0" fontId="7" fillId="0" borderId="1" xfId="0" applyFont="1" applyBorder="1" applyAlignment="1">
      <alignment vertical="top" wrapText="1"/>
    </xf>
    <xf numFmtId="0" fontId="6" fillId="4" borderId="2" xfId="0" applyFont="1" applyFill="1" applyBorder="1" applyAlignment="1">
      <alignment vertical="center" wrapText="1"/>
    </xf>
    <xf numFmtId="0" fontId="7" fillId="6" borderId="1" xfId="0" applyFont="1" applyFill="1" applyBorder="1" applyAlignment="1">
      <alignment vertical="center" wrapText="1"/>
    </xf>
    <xf numFmtId="0" fontId="5" fillId="0" borderId="1" xfId="0" applyFont="1" applyBorder="1" applyAlignment="1">
      <alignment horizontal="center" vertical="center" wrapText="1"/>
    </xf>
    <xf numFmtId="3" fontId="6" fillId="4" borderId="2" xfId="0" applyNumberFormat="1" applyFont="1" applyFill="1" applyBorder="1" applyAlignment="1">
      <alignment vertical="center" wrapText="1"/>
    </xf>
    <xf numFmtId="176" fontId="6" fillId="4" borderId="2" xfId="0" applyNumberFormat="1" applyFont="1" applyFill="1" applyBorder="1" applyAlignment="1">
      <alignment vertical="center" wrapText="1"/>
    </xf>
    <xf numFmtId="2" fontId="6" fillId="4" borderId="2" xfId="0" applyNumberFormat="1" applyFont="1" applyFill="1" applyBorder="1" applyAlignment="1">
      <alignment vertical="center" wrapText="1"/>
    </xf>
    <xf numFmtId="0" fontId="8" fillId="5" borderId="1" xfId="0" applyFont="1" applyFill="1" applyBorder="1" applyAlignment="1">
      <alignment horizontal="center" vertical="center" wrapText="1"/>
    </xf>
    <xf numFmtId="0" fontId="9" fillId="0" borderId="1" xfId="0" applyFont="1" applyBorder="1" applyAlignment="1">
      <alignment horizontal="center" vertical="center" wrapText="1"/>
    </xf>
    <xf numFmtId="177" fontId="7" fillId="6" borderId="1" xfId="0" applyNumberFormat="1" applyFont="1" applyFill="1" applyBorder="1" applyAlignment="1">
      <alignment vertical="center" wrapText="1"/>
    </xf>
    <xf numFmtId="177" fontId="6" fillId="4" borderId="2" xfId="0" applyNumberFormat="1" applyFont="1" applyFill="1" applyBorder="1" applyAlignment="1">
      <alignment vertical="center" wrapText="1"/>
    </xf>
    <xf numFmtId="3" fontId="7" fillId="6" borderId="1" xfId="0" applyNumberFormat="1" applyFont="1" applyFill="1" applyBorder="1" applyAlignment="1">
      <alignment vertical="center" wrapText="1"/>
    </xf>
    <xf numFmtId="0" fontId="7" fillId="0" borderId="1" xfId="0" applyFont="1" applyBorder="1" applyAlignment="1">
      <alignment vertical="center"/>
    </xf>
    <xf numFmtId="1" fontId="7" fillId="6" borderId="1" xfId="0" applyNumberFormat="1" applyFont="1" applyFill="1" applyBorder="1" applyAlignment="1">
      <alignment vertical="center" wrapText="1"/>
    </xf>
    <xf numFmtId="178" fontId="7" fillId="6" borderId="1" xfId="0" applyNumberFormat="1" applyFont="1" applyFill="1" applyBorder="1" applyAlignment="1">
      <alignment vertical="center" wrapText="1"/>
    </xf>
    <xf numFmtId="0" fontId="6" fillId="4" borderId="2" xfId="0" applyFont="1" applyFill="1" applyBorder="1" applyAlignment="1">
      <alignment vertical="top" wrapText="1"/>
    </xf>
    <xf numFmtId="3" fontId="4" fillId="6" borderId="1" xfId="0" applyNumberFormat="1" applyFont="1" applyFill="1" applyBorder="1" applyAlignment="1">
      <alignment vertical="center" wrapText="1"/>
    </xf>
    <xf numFmtId="179" fontId="7" fillId="6" borderId="1" xfId="0" applyNumberFormat="1" applyFont="1" applyFill="1" applyBorder="1" applyAlignment="1">
      <alignment vertical="center" wrapText="1"/>
    </xf>
    <xf numFmtId="178" fontId="4" fillId="6" borderId="1" xfId="0" applyNumberFormat="1" applyFont="1" applyFill="1" applyBorder="1" applyAlignment="1">
      <alignment vertical="center" wrapText="1"/>
    </xf>
    <xf numFmtId="179" fontId="4" fillId="6" borderId="1" xfId="0" applyNumberFormat="1" applyFont="1" applyFill="1" applyBorder="1" applyAlignment="1">
      <alignment vertical="center" wrapText="1"/>
    </xf>
    <xf numFmtId="179" fontId="6" fillId="4" borderId="2" xfId="0" applyNumberFormat="1" applyFont="1" applyFill="1" applyBorder="1" applyAlignment="1">
      <alignment vertical="center" wrapText="1"/>
    </xf>
    <xf numFmtId="0" fontId="10" fillId="0" borderId="1" xfId="0" applyFont="1" applyBorder="1" applyAlignment="1">
      <alignment vertical="top" wrapText="1"/>
    </xf>
    <xf numFmtId="4" fontId="7" fillId="6" borderId="1" xfId="0" applyNumberFormat="1" applyFont="1" applyFill="1" applyBorder="1" applyAlignment="1">
      <alignment vertical="center" wrapText="1"/>
    </xf>
    <xf numFmtId="4" fontId="4" fillId="6" borderId="1" xfId="0" applyNumberFormat="1" applyFont="1" applyFill="1" applyBorder="1" applyAlignment="1">
      <alignment vertical="center" wrapText="1"/>
    </xf>
    <xf numFmtId="4" fontId="6" fillId="4" borderId="2" xfId="0" applyNumberFormat="1" applyFont="1" applyFill="1" applyBorder="1" applyAlignment="1">
      <alignment vertical="center" wrapText="1"/>
    </xf>
    <xf numFmtId="2" fontId="7" fillId="6" borderId="1" xfId="0" applyNumberFormat="1" applyFont="1" applyFill="1" applyBorder="1" applyAlignment="1">
      <alignment vertical="center" wrapText="1"/>
    </xf>
    <xf numFmtId="176" fontId="7" fillId="6" borderId="1" xfId="0" applyNumberFormat="1" applyFont="1" applyFill="1" applyBorder="1" applyAlignment="1">
      <alignment vertical="center" wrapText="1"/>
    </xf>
    <xf numFmtId="180" fontId="4" fillId="6" borderId="1" xfId="0" applyNumberFormat="1" applyFont="1" applyFill="1" applyBorder="1" applyAlignment="1">
      <alignment vertical="center" wrapText="1"/>
    </xf>
    <xf numFmtId="176" fontId="4" fillId="6" borderId="1" xfId="0" applyNumberFormat="1" applyFont="1" applyFill="1" applyBorder="1" applyAlignment="1">
      <alignment vertical="center" wrapText="1"/>
    </xf>
    <xf numFmtId="181" fontId="7" fillId="6" borderId="1" xfId="0" applyNumberFormat="1" applyFont="1" applyFill="1" applyBorder="1" applyAlignment="1">
      <alignment vertical="center" wrapText="1"/>
    </xf>
    <xf numFmtId="182" fontId="7" fillId="6" borderId="1" xfId="0" applyNumberFormat="1" applyFont="1" applyFill="1" applyBorder="1" applyAlignment="1">
      <alignment vertical="center" wrapText="1"/>
    </xf>
    <xf numFmtId="180" fontId="7" fillId="6" borderId="1" xfId="0" applyNumberFormat="1" applyFont="1" applyFill="1" applyBorder="1" applyAlignment="1">
      <alignment vertical="center" wrapText="1"/>
    </xf>
    <xf numFmtId="176" fontId="7" fillId="0" borderId="1" xfId="0" applyNumberFormat="1" applyFont="1" applyBorder="1"/>
    <xf numFmtId="0" fontId="7" fillId="0" borderId="1" xfId="0" applyFont="1" applyBorder="1"/>
    <xf numFmtId="0" fontId="7" fillId="0" borderId="1" xfId="0" applyFont="1" applyBorder="1" applyAlignment="1">
      <alignment vertical="top" wrapText="1"/>
    </xf>
    <xf numFmtId="0" fontId="0" fillId="0" borderId="4" xfId="0" applyBorder="1"/>
    <xf numFmtId="0" fontId="0" fillId="0" borderId="3" xfId="0" applyBorder="1"/>
    <xf numFmtId="0" fontId="2" fillId="2" borderId="0" xfId="0" applyFont="1" applyFill="1" applyAlignment="1">
      <alignment vertical="top" wrapText="1"/>
    </xf>
    <xf numFmtId="0" fontId="0" fillId="0" borderId="0" xfId="0"/>
    <xf numFmtId="0" fontId="3" fillId="3" borderId="0" xfId="0" applyFont="1" applyFill="1"/>
    <xf numFmtId="0" fontId="1" fillId="0" borderId="0" xfId="0" applyFont="1"/>
    <xf numFmtId="0" fontId="2" fillId="0" borderId="1" xfId="0" applyFont="1" applyBorder="1" applyAlignment="1">
      <alignment vertical="top" wrapText="1"/>
    </xf>
    <xf numFmtId="0" fontId="7" fillId="6" borderId="1" xfId="0" applyFont="1" applyFill="1" applyBorder="1" applyAlignment="1">
      <alignment vertical="center" wrapText="1"/>
    </xf>
    <xf numFmtId="0" fontId="8" fillId="5" borderId="1" xfId="0" applyFont="1" applyFill="1" applyBorder="1" applyAlignment="1">
      <alignment horizontal="center" vertical="center" wrapText="1"/>
    </xf>
    <xf numFmtId="0" fontId="4" fillId="0" borderId="1" xfId="0" applyFont="1" applyBorder="1" applyAlignment="1">
      <alignment vertical="top" wrapText="1"/>
    </xf>
    <xf numFmtId="3" fontId="7" fillId="6" borderId="1" xfId="0" applyNumberFormat="1" applyFont="1" applyFill="1" applyBorder="1" applyAlignment="1">
      <alignment vertical="center" wrapText="1"/>
    </xf>
    <xf numFmtId="181" fontId="4" fillId="0" borderId="1" xfId="0" applyNumberFormat="1" applyFont="1" applyBorder="1" applyAlignment="1">
      <alignment horizontal="right" vertical="center"/>
    </xf>
    <xf numFmtId="0" fontId="4" fillId="0" borderId="1" xfId="0" applyFont="1" applyBorder="1" applyAlignment="1">
      <alignment horizontal="right" vertical="center"/>
    </xf>
    <xf numFmtId="178" fontId="4" fillId="0" borderId="1" xfId="0" applyNumberFormat="1" applyFont="1" applyBorder="1" applyAlignment="1">
      <alignment horizontal="right" vertical="center"/>
    </xf>
  </cellXfs>
  <cellStyles count="1">
    <cellStyle name="표준" xfId="0" builtinId="0"/>
  </cellStyles>
  <dxfs count="22">
    <dxf>
      <font>
        <b/>
        <color rgb="FF9C0006"/>
      </font>
      <fill>
        <patternFill patternType="solid">
          <bgColor rgb="FFFCE4D6"/>
        </patternFill>
      </fill>
    </dxf>
    <dxf>
      <font>
        <b/>
        <color rgb="FF006100"/>
      </font>
      <fill>
        <patternFill patternType="solid">
          <bgColor rgb="FFC6EFCE"/>
        </patternFill>
      </fill>
    </dxf>
    <dxf>
      <font>
        <b/>
        <color rgb="FF9C0006"/>
      </font>
      <fill>
        <patternFill patternType="solid">
          <bgColor rgb="FFFCE4D6"/>
        </patternFill>
      </fill>
    </dxf>
    <dxf>
      <font>
        <b/>
        <color rgb="FF006100"/>
      </font>
      <fill>
        <patternFill patternType="solid">
          <bgColor rgb="FFC6EFCE"/>
        </patternFill>
      </fill>
    </dxf>
    <dxf>
      <font>
        <b/>
        <color rgb="FF9C0006"/>
      </font>
      <fill>
        <patternFill patternType="solid">
          <bgColor rgb="FFFCE4D6"/>
        </patternFill>
      </fill>
    </dxf>
    <dxf>
      <font>
        <b/>
        <color rgb="FF006100"/>
      </font>
      <fill>
        <patternFill patternType="solid">
          <bgColor rgb="FFC6EFCE"/>
        </patternFill>
      </fill>
    </dxf>
    <dxf>
      <font>
        <b/>
        <color rgb="FF9C0006"/>
      </font>
      <fill>
        <patternFill patternType="solid">
          <bgColor rgb="FFFCE4D6"/>
        </patternFill>
      </fill>
    </dxf>
    <dxf>
      <font>
        <b/>
        <color rgb="FF006100"/>
      </font>
      <fill>
        <patternFill patternType="solid">
          <bgColor rgb="FFC6EFCE"/>
        </patternFill>
      </fill>
    </dxf>
    <dxf>
      <font>
        <b/>
        <color rgb="FF9C0006"/>
      </font>
      <fill>
        <patternFill patternType="solid">
          <bgColor rgb="FFFCE4D6"/>
        </patternFill>
      </fill>
    </dxf>
    <dxf>
      <font>
        <b/>
        <color rgb="FF006100"/>
      </font>
      <fill>
        <patternFill patternType="solid">
          <bgColor rgb="FFC6EFCE"/>
        </patternFill>
      </fill>
    </dxf>
    <dxf>
      <font>
        <b/>
        <color rgb="FF9C0006"/>
      </font>
      <fill>
        <patternFill patternType="solid">
          <bgColor rgb="FFFCE4D6"/>
        </patternFill>
      </fill>
    </dxf>
    <dxf>
      <font>
        <b/>
        <color rgb="FF006100"/>
      </font>
      <fill>
        <patternFill patternType="solid">
          <bgColor rgb="FFC6EFCE"/>
        </patternFill>
      </fill>
    </dxf>
    <dxf>
      <font>
        <b/>
        <color rgb="FF9C0006"/>
      </font>
      <fill>
        <patternFill patternType="solid">
          <bgColor rgb="FFFCE4D6"/>
        </patternFill>
      </fill>
    </dxf>
    <dxf>
      <font>
        <b/>
        <color rgb="FF006100"/>
      </font>
      <fill>
        <patternFill patternType="solid">
          <bgColor rgb="FFC6EFCE"/>
        </patternFill>
      </fill>
    </dxf>
    <dxf>
      <font>
        <b/>
        <color rgb="FF9C0006"/>
      </font>
      <fill>
        <patternFill patternType="solid">
          <bgColor rgb="FFFCE4D6"/>
        </patternFill>
      </fill>
    </dxf>
    <dxf>
      <font>
        <b/>
        <color rgb="FF006100"/>
      </font>
      <fill>
        <patternFill patternType="solid">
          <bgColor rgb="FFC6EFCE"/>
        </patternFill>
      </fill>
    </dxf>
    <dxf>
      <font>
        <b/>
        <color rgb="FF9C0006"/>
      </font>
      <fill>
        <patternFill patternType="solid">
          <bgColor rgb="FFFCE4D6"/>
        </patternFill>
      </fill>
    </dxf>
    <dxf>
      <font>
        <b/>
        <color rgb="FF006100"/>
      </font>
      <fill>
        <patternFill patternType="solid">
          <bgColor rgb="FFC6EFCE"/>
        </patternFill>
      </fill>
    </dxf>
    <dxf>
      <font>
        <b/>
        <color rgb="FF9C0006"/>
      </font>
      <fill>
        <patternFill patternType="solid">
          <bgColor rgb="FFFCE4D6"/>
        </patternFill>
      </fill>
    </dxf>
    <dxf>
      <font>
        <b/>
        <color rgb="FF006100"/>
      </font>
      <fill>
        <patternFill patternType="solid">
          <bgColor rgb="FFC6EFCE"/>
        </patternFill>
      </fill>
    </dxf>
    <dxf>
      <font>
        <b/>
        <color rgb="FF9C0006"/>
      </font>
      <fill>
        <patternFill patternType="solid">
          <bgColor rgb="FFFCE4D6"/>
        </patternFill>
      </fill>
    </dxf>
    <dxf>
      <font>
        <b/>
        <color rgb="FF006100"/>
      </font>
      <fill>
        <patternFill patternType="solid">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8"/>
  <sheetViews>
    <sheetView tabSelected="1" workbookViewId="0">
      <pane ySplit="3" topLeftCell="A4" activePane="bottomLeft" state="frozen"/>
      <selection pane="bottomLeft" sqref="A1:C1"/>
    </sheetView>
  </sheetViews>
  <sheetFormatPr baseColWidth="10" defaultColWidth="8.83203125" defaultRowHeight="17"/>
  <cols>
    <col min="1" max="1" width="26" customWidth="1"/>
    <col min="2" max="2" width="76" customWidth="1"/>
    <col min="3" max="3" width="28" customWidth="1"/>
  </cols>
  <sheetData>
    <row r="1" spans="1:3" ht="20">
      <c r="A1" s="42" t="s">
        <v>0</v>
      </c>
      <c r="B1" s="40"/>
      <c r="C1" s="40"/>
    </row>
    <row r="2" spans="1:3" ht="48" customHeight="1">
      <c r="A2" s="39" t="s">
        <v>1</v>
      </c>
      <c r="B2" s="40"/>
      <c r="C2" s="40"/>
    </row>
    <row r="4" spans="1:3" ht="66" customHeight="1">
      <c r="A4" s="1" t="s">
        <v>2</v>
      </c>
      <c r="B4" s="36" t="s">
        <v>3</v>
      </c>
      <c r="C4" s="37"/>
    </row>
    <row r="5" spans="1:3" ht="66" customHeight="1">
      <c r="A5" s="1" t="s">
        <v>4</v>
      </c>
      <c r="B5" s="36" t="s">
        <v>5</v>
      </c>
      <c r="C5" s="37"/>
    </row>
    <row r="6" spans="1:3" ht="40" customHeight="1">
      <c r="A6" s="1" t="s">
        <v>6</v>
      </c>
      <c r="B6" s="36" t="s">
        <v>7</v>
      </c>
      <c r="C6" s="37"/>
    </row>
    <row r="7" spans="1:3" ht="66" customHeight="1">
      <c r="A7" s="1" t="s">
        <v>8</v>
      </c>
      <c r="B7" s="36" t="s">
        <v>9</v>
      </c>
      <c r="C7" s="37"/>
    </row>
    <row r="8" spans="1:3" ht="40" customHeight="1">
      <c r="A8" s="1" t="s">
        <v>10</v>
      </c>
      <c r="B8" s="36" t="s">
        <v>11</v>
      </c>
      <c r="C8" s="37"/>
    </row>
    <row r="10" spans="1:3">
      <c r="A10" s="41" t="s">
        <v>12</v>
      </c>
      <c r="B10" s="40"/>
      <c r="C10" s="40"/>
    </row>
    <row r="11" spans="1:3">
      <c r="A11" s="3" t="s">
        <v>13</v>
      </c>
      <c r="B11" s="2" t="s">
        <v>14</v>
      </c>
    </row>
    <row r="12" spans="1:3" ht="32">
      <c r="A12" s="4" t="s">
        <v>15</v>
      </c>
      <c r="B12" s="2" t="s">
        <v>16</v>
      </c>
    </row>
    <row r="13" spans="1:3" ht="32">
      <c r="A13" s="1" t="s">
        <v>17</v>
      </c>
      <c r="B13" s="2" t="s">
        <v>18</v>
      </c>
    </row>
    <row r="15" spans="1:3">
      <c r="A15" s="41" t="s">
        <v>19</v>
      </c>
      <c r="B15" s="40"/>
      <c r="C15" s="40"/>
    </row>
    <row r="16" spans="1:3" ht="28" customHeight="1">
      <c r="A16" s="36" t="s">
        <v>20</v>
      </c>
      <c r="B16" s="38"/>
      <c r="C16" s="37"/>
    </row>
    <row r="17" spans="1:3" ht="28" customHeight="1">
      <c r="A17" s="36" t="s">
        <v>21</v>
      </c>
      <c r="B17" s="38"/>
      <c r="C17" s="37"/>
    </row>
    <row r="18" spans="1:3" ht="40" customHeight="1">
      <c r="A18" s="36" t="s">
        <v>22</v>
      </c>
      <c r="B18" s="38"/>
      <c r="C18" s="37"/>
    </row>
    <row r="19" spans="1:3" ht="28" customHeight="1">
      <c r="A19" s="36" t="s">
        <v>23</v>
      </c>
      <c r="B19" s="38"/>
      <c r="C19" s="37"/>
    </row>
    <row r="20" spans="1:3" ht="28" customHeight="1">
      <c r="A20" s="36" t="s">
        <v>24</v>
      </c>
      <c r="B20" s="38"/>
      <c r="C20" s="37"/>
    </row>
    <row r="21" spans="1:3" ht="40" customHeight="1">
      <c r="A21" s="36" t="s">
        <v>25</v>
      </c>
      <c r="B21" s="38"/>
      <c r="C21" s="37"/>
    </row>
    <row r="22" spans="1:3" ht="28" customHeight="1">
      <c r="A22" s="36" t="s">
        <v>26</v>
      </c>
      <c r="B22" s="38"/>
      <c r="C22" s="37"/>
    </row>
    <row r="24" spans="1:3">
      <c r="A24" s="41" t="s">
        <v>27</v>
      </c>
      <c r="B24" s="40"/>
      <c r="C24" s="40"/>
    </row>
    <row r="25" spans="1:3">
      <c r="A25" s="1" t="s">
        <v>28</v>
      </c>
      <c r="B25" s="36" t="s">
        <v>29</v>
      </c>
      <c r="C25" s="37"/>
    </row>
    <row r="26" spans="1:3">
      <c r="A26" s="1" t="s">
        <v>30</v>
      </c>
      <c r="B26" s="36" t="s">
        <v>31</v>
      </c>
      <c r="C26" s="37"/>
    </row>
    <row r="27" spans="1:3">
      <c r="A27" s="1" t="s">
        <v>32</v>
      </c>
      <c r="B27" s="36" t="s">
        <v>33</v>
      </c>
      <c r="C27" s="37"/>
    </row>
    <row r="28" spans="1:3">
      <c r="A28" s="1" t="s">
        <v>34</v>
      </c>
      <c r="B28" s="36" t="s">
        <v>35</v>
      </c>
      <c r="C28" s="37"/>
    </row>
    <row r="29" spans="1:3">
      <c r="A29" s="1" t="s">
        <v>36</v>
      </c>
      <c r="B29" s="36" t="s">
        <v>37</v>
      </c>
      <c r="C29" s="37"/>
    </row>
    <row r="30" spans="1:3">
      <c r="A30" s="1" t="s">
        <v>38</v>
      </c>
      <c r="B30" s="36" t="s">
        <v>39</v>
      </c>
      <c r="C30" s="37"/>
    </row>
    <row r="31" spans="1:3">
      <c r="A31" s="1" t="s">
        <v>40</v>
      </c>
      <c r="B31" s="36" t="s">
        <v>41</v>
      </c>
      <c r="C31" s="37"/>
    </row>
    <row r="33" spans="1:3">
      <c r="A33" s="41" t="s">
        <v>42</v>
      </c>
      <c r="B33" s="40"/>
      <c r="C33" s="40"/>
    </row>
    <row r="34" spans="1:3" ht="44" customHeight="1">
      <c r="A34" s="1" t="s">
        <v>43</v>
      </c>
      <c r="B34" s="36" t="s">
        <v>44</v>
      </c>
      <c r="C34" s="37"/>
    </row>
    <row r="35" spans="1:3" ht="44" customHeight="1">
      <c r="A35" s="1" t="s">
        <v>45</v>
      </c>
      <c r="B35" s="36" t="s">
        <v>46</v>
      </c>
      <c r="C35" s="37"/>
    </row>
    <row r="36" spans="1:3" ht="44" customHeight="1">
      <c r="A36" s="1" t="s">
        <v>47</v>
      </c>
      <c r="B36" s="36" t="s">
        <v>48</v>
      </c>
      <c r="C36" s="37"/>
    </row>
    <row r="37" spans="1:3" ht="44" customHeight="1">
      <c r="A37" s="1" t="s">
        <v>49</v>
      </c>
      <c r="B37" s="36" t="s">
        <v>50</v>
      </c>
      <c r="C37" s="37"/>
    </row>
    <row r="38" spans="1:3" ht="28" customHeight="1">
      <c r="A38" s="1" t="s">
        <v>51</v>
      </c>
      <c r="B38" s="36" t="s">
        <v>52</v>
      </c>
      <c r="C38" s="37"/>
    </row>
  </sheetData>
  <mergeCells count="30">
    <mergeCell ref="A1:C1"/>
    <mergeCell ref="B5:C5"/>
    <mergeCell ref="B36:C36"/>
    <mergeCell ref="B26:C26"/>
    <mergeCell ref="B35:C35"/>
    <mergeCell ref="B4:C4"/>
    <mergeCell ref="A16:C16"/>
    <mergeCell ref="B38:C38"/>
    <mergeCell ref="A19:C19"/>
    <mergeCell ref="B29:C29"/>
    <mergeCell ref="B34:C34"/>
    <mergeCell ref="B37:C37"/>
    <mergeCell ref="B28:C28"/>
    <mergeCell ref="A24:C24"/>
    <mergeCell ref="B30:C30"/>
    <mergeCell ref="A2:C2"/>
    <mergeCell ref="A33:C33"/>
    <mergeCell ref="A22:C22"/>
    <mergeCell ref="A17:C17"/>
    <mergeCell ref="B8:C8"/>
    <mergeCell ref="A20:C20"/>
    <mergeCell ref="A10:C10"/>
    <mergeCell ref="A15:C15"/>
    <mergeCell ref="B6:C6"/>
    <mergeCell ref="B7:C7"/>
    <mergeCell ref="B25:C25"/>
    <mergeCell ref="A18:C18"/>
    <mergeCell ref="A21:C21"/>
    <mergeCell ref="B31:C31"/>
    <mergeCell ref="B27:C27"/>
  </mergeCells>
  <phoneticPr fontId="11" type="noConversion"/>
  <pageMargins left="0.75" right="0.75" top="1" bottom="1" header="0.5" footer="0.5"/>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38"/>
  <sheetViews>
    <sheetView workbookViewId="0">
      <pane ySplit="3" topLeftCell="A4" activePane="bottomLeft" state="frozen"/>
      <selection pane="bottomLeft"/>
    </sheetView>
  </sheetViews>
  <sheetFormatPr baseColWidth="10" defaultColWidth="8.83203125" defaultRowHeight="17"/>
  <cols>
    <col min="1" max="1" width="38" customWidth="1"/>
    <col min="2" max="2" width="8" customWidth="1"/>
    <col min="3" max="3" width="26" customWidth="1"/>
    <col min="4" max="4" width="70" customWidth="1"/>
  </cols>
  <sheetData>
    <row r="1" spans="1:4" ht="20">
      <c r="A1" s="42" t="s">
        <v>53</v>
      </c>
      <c r="B1" s="40"/>
      <c r="C1" s="40"/>
      <c r="D1" s="40"/>
    </row>
    <row r="2" spans="1:4" ht="48" customHeight="1">
      <c r="A2" s="39" t="s">
        <v>54</v>
      </c>
      <c r="B2" s="40"/>
      <c r="C2" s="40"/>
      <c r="D2" s="40"/>
    </row>
    <row r="4" spans="1:4">
      <c r="A4" s="41" t="s">
        <v>55</v>
      </c>
      <c r="B4" s="40"/>
      <c r="C4" s="40"/>
      <c r="D4" s="40"/>
    </row>
    <row r="5" spans="1:4" ht="28" customHeight="1">
      <c r="A5" s="1" t="s">
        <v>56</v>
      </c>
      <c r="B5" s="5" t="s">
        <v>13</v>
      </c>
      <c r="C5" s="3"/>
      <c r="D5" s="2" t="s">
        <v>57</v>
      </c>
    </row>
    <row r="6" spans="1:4" ht="28" customHeight="1">
      <c r="A6" s="1" t="s">
        <v>58</v>
      </c>
      <c r="B6" s="5" t="s">
        <v>13</v>
      </c>
      <c r="C6" s="3"/>
      <c r="D6" s="2" t="s">
        <v>59</v>
      </c>
    </row>
    <row r="7" spans="1:4" ht="28" customHeight="1">
      <c r="A7" s="1" t="s">
        <v>60</v>
      </c>
      <c r="B7" s="5" t="s">
        <v>13</v>
      </c>
      <c r="C7" s="3"/>
      <c r="D7" s="2" t="s">
        <v>61</v>
      </c>
    </row>
    <row r="8" spans="1:4" ht="28" customHeight="1">
      <c r="A8" s="1" t="s">
        <v>62</v>
      </c>
      <c r="B8" s="5" t="s">
        <v>13</v>
      </c>
      <c r="C8" s="6"/>
      <c r="D8" s="2" t="s">
        <v>63</v>
      </c>
    </row>
    <row r="9" spans="1:4" ht="28" customHeight="1">
      <c r="A9" s="1" t="s">
        <v>64</v>
      </c>
      <c r="B9" s="5" t="s">
        <v>13</v>
      </c>
      <c r="C9" s="3"/>
      <c r="D9" s="2" t="s">
        <v>65</v>
      </c>
    </row>
    <row r="10" spans="1:4" ht="28" customHeight="1">
      <c r="A10" s="1" t="s">
        <v>66</v>
      </c>
      <c r="B10" s="5" t="s">
        <v>13</v>
      </c>
      <c r="C10" s="6"/>
      <c r="D10" s="2" t="s">
        <v>67</v>
      </c>
    </row>
    <row r="11" spans="1:4" ht="28" customHeight="1">
      <c r="A11" s="1" t="s">
        <v>68</v>
      </c>
      <c r="B11" s="5" t="s">
        <v>13</v>
      </c>
      <c r="C11" s="3"/>
      <c r="D11" s="2" t="s">
        <v>69</v>
      </c>
    </row>
    <row r="12" spans="1:4" ht="28" customHeight="1">
      <c r="A12" s="1" t="s">
        <v>70</v>
      </c>
      <c r="B12" s="5" t="s">
        <v>13</v>
      </c>
      <c r="C12" s="3"/>
      <c r="D12" s="2" t="s">
        <v>71</v>
      </c>
    </row>
    <row r="13" spans="1:4" ht="28" customHeight="1">
      <c r="A13" s="1" t="s">
        <v>72</v>
      </c>
      <c r="B13" s="5" t="s">
        <v>13</v>
      </c>
      <c r="C13" s="7"/>
      <c r="D13" s="2" t="s">
        <v>73</v>
      </c>
    </row>
    <row r="14" spans="1:4" ht="28" customHeight="1">
      <c r="A14" s="1" t="s">
        <v>74</v>
      </c>
      <c r="B14" s="5" t="s">
        <v>13</v>
      </c>
      <c r="C14" s="7"/>
      <c r="D14" s="2" t="s">
        <v>75</v>
      </c>
    </row>
    <row r="15" spans="1:4" ht="28" customHeight="1">
      <c r="A15" s="1" t="s">
        <v>76</v>
      </c>
      <c r="B15" s="5" t="s">
        <v>13</v>
      </c>
      <c r="C15" s="7"/>
      <c r="D15" s="2" t="s">
        <v>77</v>
      </c>
    </row>
    <row r="16" spans="1:4" ht="28" customHeight="1">
      <c r="A16" s="1" t="s">
        <v>78</v>
      </c>
      <c r="B16" s="5" t="s">
        <v>13</v>
      </c>
      <c r="C16" s="3"/>
      <c r="D16" s="2" t="s">
        <v>79</v>
      </c>
    </row>
    <row r="17" spans="1:4" ht="28" customHeight="1">
      <c r="A17" s="1" t="s">
        <v>80</v>
      </c>
      <c r="B17" s="5" t="s">
        <v>13</v>
      </c>
      <c r="C17" s="3"/>
      <c r="D17" s="2" t="s">
        <v>81</v>
      </c>
    </row>
    <row r="19" spans="1:4">
      <c r="A19" s="41" t="s">
        <v>82</v>
      </c>
      <c r="B19" s="40"/>
      <c r="C19" s="40"/>
      <c r="D19" s="40"/>
    </row>
    <row r="20" spans="1:4">
      <c r="A20" s="1" t="s">
        <v>83</v>
      </c>
      <c r="B20" s="5" t="s">
        <v>13</v>
      </c>
      <c r="C20" s="6"/>
      <c r="D20" s="2" t="s">
        <v>84</v>
      </c>
    </row>
    <row r="21" spans="1:4">
      <c r="A21" s="1" t="s">
        <v>85</v>
      </c>
      <c r="B21" s="5" t="s">
        <v>13</v>
      </c>
      <c r="C21" s="8"/>
      <c r="D21" s="2" t="s">
        <v>86</v>
      </c>
    </row>
    <row r="22" spans="1:4">
      <c r="A22" s="1" t="s">
        <v>87</v>
      </c>
      <c r="B22" s="5" t="s">
        <v>13</v>
      </c>
      <c r="C22" s="6"/>
      <c r="D22" s="2" t="s">
        <v>88</v>
      </c>
    </row>
    <row r="23" spans="1:4">
      <c r="A23" s="1" t="s">
        <v>89</v>
      </c>
      <c r="B23" s="5" t="s">
        <v>13</v>
      </c>
      <c r="C23" s="6"/>
      <c r="D23" s="2" t="s">
        <v>90</v>
      </c>
    </row>
    <row r="26" spans="1:4">
      <c r="A26" s="41" t="s">
        <v>91</v>
      </c>
      <c r="B26" s="40"/>
      <c r="C26" s="40"/>
      <c r="D26" s="40"/>
    </row>
    <row r="27" spans="1:4">
      <c r="A27" s="1" t="s">
        <v>92</v>
      </c>
      <c r="B27" s="5" t="s">
        <v>13</v>
      </c>
      <c r="C27" s="6"/>
      <c r="D27" s="2" t="s">
        <v>93</v>
      </c>
    </row>
    <row r="28" spans="1:4">
      <c r="A28" s="1" t="s">
        <v>94</v>
      </c>
      <c r="B28" s="5" t="s">
        <v>13</v>
      </c>
      <c r="C28" s="6"/>
      <c r="D28" s="2" t="s">
        <v>95</v>
      </c>
    </row>
    <row r="29" spans="1:4">
      <c r="A29" s="1" t="s">
        <v>96</v>
      </c>
      <c r="B29" s="5" t="s">
        <v>13</v>
      </c>
      <c r="C29" s="6"/>
      <c r="D29" s="2" t="s">
        <v>97</v>
      </c>
    </row>
    <row r="30" spans="1:4">
      <c r="A30" s="1" t="s">
        <v>98</v>
      </c>
      <c r="B30" s="5" t="s">
        <v>13</v>
      </c>
      <c r="C30" s="6"/>
      <c r="D30" s="2" t="s">
        <v>99</v>
      </c>
    </row>
    <row r="33" spans="1:4">
      <c r="A33" s="41" t="s">
        <v>100</v>
      </c>
      <c r="B33" s="40"/>
      <c r="C33" s="40"/>
      <c r="D33" s="40"/>
    </row>
    <row r="34" spans="1:4">
      <c r="A34" s="9" t="s">
        <v>101</v>
      </c>
      <c r="B34" s="9" t="s">
        <v>102</v>
      </c>
      <c r="C34" s="9" t="s">
        <v>103</v>
      </c>
      <c r="D34" s="9" t="s">
        <v>104</v>
      </c>
    </row>
    <row r="35" spans="1:4">
      <c r="A35" s="4" t="str">
        <f>IF(C11="","",C11)</f>
        <v/>
      </c>
      <c r="B35" s="10" t="s">
        <v>15</v>
      </c>
      <c r="C35" s="11">
        <v>1</v>
      </c>
      <c r="D35" s="2" t="s">
        <v>105</v>
      </c>
    </row>
    <row r="36" spans="1:4">
      <c r="A36" s="4" t="str">
        <f>IF(C9="","",C9)</f>
        <v/>
      </c>
      <c r="B36" s="10" t="s">
        <v>15</v>
      </c>
      <c r="C36" s="11" t="str">
        <f>IF(ISNUMBER(C10),C10,"단위 확인")</f>
        <v>단위 확인</v>
      </c>
      <c r="D36" s="2" t="s">
        <v>106</v>
      </c>
    </row>
    <row r="37" spans="1:4">
      <c r="A37" s="3"/>
      <c r="B37" s="5" t="s">
        <v>13</v>
      </c>
      <c r="C37" s="11" t="str">
        <f>IF(AND(ISNUMBER(C8),C8&gt;0),1/C8,"단위 확인")</f>
        <v>단위 확인</v>
      </c>
      <c r="D37" s="2" t="s">
        <v>107</v>
      </c>
    </row>
    <row r="38" spans="1:4">
      <c r="A38" s="3"/>
      <c r="B38" s="5" t="s">
        <v>13</v>
      </c>
      <c r="C38" s="12"/>
      <c r="D38" s="2" t="s">
        <v>108</v>
      </c>
    </row>
  </sheetData>
  <mergeCells count="6">
    <mergeCell ref="A33:D33"/>
    <mergeCell ref="A1:D1"/>
    <mergeCell ref="A4:D4"/>
    <mergeCell ref="A26:D26"/>
    <mergeCell ref="A19:D19"/>
    <mergeCell ref="A2:D2"/>
  </mergeCells>
  <phoneticPr fontId="11" type="noConversion"/>
  <pageMargins left="0.75" right="0.75" top="1" bottom="1" header="0.5" footer="0.5"/>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06"/>
  <sheetViews>
    <sheetView workbookViewId="0">
      <pane ySplit="6" topLeftCell="A7" activePane="bottomLeft" state="frozen"/>
      <selection pane="bottomLeft"/>
    </sheetView>
  </sheetViews>
  <sheetFormatPr baseColWidth="10" defaultColWidth="8.83203125" defaultRowHeight="17"/>
  <cols>
    <col min="1" max="1" width="12" customWidth="1"/>
    <col min="2" max="2" width="11" customWidth="1"/>
    <col min="3" max="3" width="14" customWidth="1"/>
    <col min="4" max="4" width="10" customWidth="1"/>
    <col min="5" max="5" width="9" customWidth="1"/>
    <col min="6" max="6" width="11" customWidth="1"/>
    <col min="7" max="7" width="12" customWidth="1"/>
    <col min="8" max="8" width="8" customWidth="1"/>
    <col min="9" max="9" width="11" customWidth="1"/>
    <col min="10" max="10" width="30" customWidth="1"/>
    <col min="11" max="11" width="9" customWidth="1"/>
    <col min="12" max="12" width="11" customWidth="1"/>
    <col min="13" max="13" width="36" customWidth="1"/>
    <col min="14" max="14" width="9" customWidth="1"/>
  </cols>
  <sheetData>
    <row r="1" spans="1:14" ht="20">
      <c r="A1" s="42" t="s">
        <v>109</v>
      </c>
      <c r="B1" s="40"/>
      <c r="C1" s="40"/>
      <c r="D1" s="40"/>
      <c r="E1" s="40"/>
      <c r="F1" s="40"/>
      <c r="G1" s="40"/>
      <c r="H1" s="40"/>
      <c r="I1" s="40"/>
      <c r="J1" s="40"/>
      <c r="K1" s="40"/>
      <c r="L1" s="40"/>
      <c r="M1" s="40"/>
    </row>
    <row r="2" spans="1:14" ht="48" customHeight="1">
      <c r="A2" s="39" t="s">
        <v>110</v>
      </c>
      <c r="B2" s="40"/>
      <c r="C2" s="40"/>
      <c r="D2" s="40"/>
      <c r="E2" s="40"/>
      <c r="F2" s="40"/>
      <c r="G2" s="40"/>
      <c r="H2" s="40"/>
      <c r="I2" s="40"/>
      <c r="J2" s="40"/>
      <c r="K2" s="40"/>
      <c r="L2" s="40"/>
      <c r="M2" s="40"/>
    </row>
    <row r="3" spans="1:14">
      <c r="A3" s="1" t="s">
        <v>111</v>
      </c>
      <c r="B3" s="13">
        <f>COUNTA(B7:B306)</f>
        <v>0</v>
      </c>
      <c r="C3" s="1" t="s">
        <v>112</v>
      </c>
      <c r="D3" s="13">
        <f>SUM(N7:N306)</f>
        <v>0</v>
      </c>
      <c r="E3" s="14" t="s">
        <v>113</v>
      </c>
    </row>
    <row r="5" spans="1:14">
      <c r="A5" s="5" t="s">
        <v>13</v>
      </c>
      <c r="B5" s="5" t="s">
        <v>13</v>
      </c>
      <c r="C5" s="5" t="s">
        <v>13</v>
      </c>
      <c r="D5" s="5" t="s">
        <v>13</v>
      </c>
      <c r="E5" s="5" t="s">
        <v>13</v>
      </c>
      <c r="F5" s="5" t="s">
        <v>13</v>
      </c>
      <c r="G5" s="5" t="s">
        <v>13</v>
      </c>
      <c r="H5" s="5" t="s">
        <v>13</v>
      </c>
      <c r="I5" s="5" t="s">
        <v>13</v>
      </c>
      <c r="J5" s="5" t="s">
        <v>13</v>
      </c>
      <c r="K5" s="10" t="s">
        <v>15</v>
      </c>
      <c r="L5" s="10" t="s">
        <v>15</v>
      </c>
      <c r="M5" s="10" t="s">
        <v>15</v>
      </c>
      <c r="N5" s="10" t="s">
        <v>15</v>
      </c>
    </row>
    <row r="6" spans="1:14" ht="32">
      <c r="A6" s="9" t="s">
        <v>114</v>
      </c>
      <c r="B6" s="9" t="s">
        <v>102</v>
      </c>
      <c r="C6" s="9" t="s">
        <v>115</v>
      </c>
      <c r="D6" s="9" t="s">
        <v>116</v>
      </c>
      <c r="E6" s="9" t="s">
        <v>117</v>
      </c>
      <c r="F6" s="9" t="s">
        <v>118</v>
      </c>
      <c r="G6" s="9" t="s">
        <v>119</v>
      </c>
      <c r="H6" s="9" t="s">
        <v>120</v>
      </c>
      <c r="I6" s="9" t="s">
        <v>121</v>
      </c>
      <c r="J6" s="9" t="s">
        <v>122</v>
      </c>
      <c r="K6" s="9" t="s">
        <v>123</v>
      </c>
      <c r="L6" s="9" t="s">
        <v>124</v>
      </c>
      <c r="M6" s="9" t="s">
        <v>125</v>
      </c>
      <c r="N6" s="9" t="s">
        <v>126</v>
      </c>
    </row>
    <row r="7" spans="1:14">
      <c r="A7" s="7"/>
      <c r="B7" s="3"/>
      <c r="C7" s="3"/>
      <c r="D7" s="3"/>
      <c r="E7" s="3"/>
      <c r="F7" s="3"/>
      <c r="G7" s="6"/>
      <c r="H7" s="3"/>
      <c r="I7" s="3"/>
      <c r="J7" s="3"/>
      <c r="K7" s="4" t="str">
        <f>IF(AND(D7="",E7=""),"",IF(E7="",1,IFERROR(INDEX(상품·기준!$C$35:$C$38,MATCH(E7,상품·기준!$A$35:$A$38,0)),"단위 확인")))</f>
        <v/>
      </c>
      <c r="L7" s="4" t="str">
        <f t="shared" ref="L7:L70" si="0">IF(AND(ISNUMBER(D7),ISNUMBER(K7)),D7*K7,"")</f>
        <v/>
      </c>
      <c r="M7" s="4" t="str">
        <f>IF(COUNTA(A7:J7)=0,"",IF(A7="","날짜 미입력",IF(NOT(ISNUMBER(A7)),"날짜 확인(날짜 형식이 아님)",IF(B7="","구분 미입력",IF(D7="","수량 미입력",IF(NOT(ISNUMBER(D7)),"수량 확인(숫자가 아님)",IF(AND(D7&lt;0,B7&lt;&gt;"조정"),"음수 수량(구분으로 방향 표시)",IF(NOT(ISNUMBER(K7)),"단위 확인",IF(AND(OR(B7="입고",B7="기초"),G7=""),"단가 미입력",IF(OR(A7&lt;상품·기준!$C$14,A7&gt;상품·기준!$C$15),"기간 밖",IF(AND(H7&lt;&gt;"아니오",C7&lt;&gt;"",COUNTIFS($C$7:$C$306,C7,$B$7:$B$306,B7,$F$7:$F$306,F7,$H$7:$H$306,"&lt;&gt;아니오")&gt;1),"중복 의심(같은 문서번호·구분·상태)","정상")))))))))))</f>
        <v/>
      </c>
      <c r="N7" s="15" t="str">
        <f t="shared" ref="N7:N70" si="1">IF(M7="","",IF(M7="정상",0,1))</f>
        <v/>
      </c>
    </row>
    <row r="8" spans="1:14">
      <c r="A8" s="7"/>
      <c r="B8" s="3"/>
      <c r="C8" s="3"/>
      <c r="D8" s="3"/>
      <c r="E8" s="3"/>
      <c r="F8" s="3"/>
      <c r="G8" s="6"/>
      <c r="H8" s="3"/>
      <c r="I8" s="3"/>
      <c r="J8" s="3"/>
      <c r="K8" s="4" t="str">
        <f>IF(AND(D8="",E8=""),"",IF(E8="",1,IFERROR(INDEX(상품·기준!$C$35:$C$38,MATCH(E8,상품·기준!$A$35:$A$38,0)),"단위 확인")))</f>
        <v/>
      </c>
      <c r="L8" s="4" t="str">
        <f t="shared" si="0"/>
        <v/>
      </c>
      <c r="M8" s="4" t="str">
        <f>IF(COUNTA(A8:J8)=0,"",IF(A8="","날짜 미입력",IF(NOT(ISNUMBER(A8)),"날짜 확인(날짜 형식이 아님)",IF(B8="","구분 미입력",IF(D8="","수량 미입력",IF(NOT(ISNUMBER(D8)),"수량 확인(숫자가 아님)",IF(AND(D8&lt;0,B8&lt;&gt;"조정"),"음수 수량(구분으로 방향 표시)",IF(NOT(ISNUMBER(K8)),"단위 확인",IF(AND(OR(B8="입고",B8="기초"),G8=""),"단가 미입력",IF(OR(A8&lt;상품·기준!$C$14,A8&gt;상품·기준!$C$15),"기간 밖",IF(AND(H8&lt;&gt;"아니오",C8&lt;&gt;"",COUNTIFS($C$7:$C$306,C8,$B$7:$B$306,B8,$F$7:$F$306,F8,$H$7:$H$306,"&lt;&gt;아니오")&gt;1),"중복 의심(같은 문서번호·구분·상태)","정상")))))))))))</f>
        <v/>
      </c>
      <c r="N8" s="15" t="str">
        <f t="shared" si="1"/>
        <v/>
      </c>
    </row>
    <row r="9" spans="1:14">
      <c r="A9" s="7"/>
      <c r="B9" s="3"/>
      <c r="C9" s="3"/>
      <c r="D9" s="3"/>
      <c r="E9" s="3"/>
      <c r="F9" s="3"/>
      <c r="G9" s="6"/>
      <c r="H9" s="3"/>
      <c r="I9" s="3"/>
      <c r="J9" s="3"/>
      <c r="K9" s="4" t="str">
        <f>IF(AND(D9="",E9=""),"",IF(E9="",1,IFERROR(INDEX(상품·기준!$C$35:$C$38,MATCH(E9,상품·기준!$A$35:$A$38,0)),"단위 확인")))</f>
        <v/>
      </c>
      <c r="L9" s="4" t="str">
        <f t="shared" si="0"/>
        <v/>
      </c>
      <c r="M9" s="4" t="str">
        <f>IF(COUNTA(A9:J9)=0,"",IF(A9="","날짜 미입력",IF(NOT(ISNUMBER(A9)),"날짜 확인(날짜 형식이 아님)",IF(B9="","구분 미입력",IF(D9="","수량 미입력",IF(NOT(ISNUMBER(D9)),"수량 확인(숫자가 아님)",IF(AND(D9&lt;0,B9&lt;&gt;"조정"),"음수 수량(구분으로 방향 표시)",IF(NOT(ISNUMBER(K9)),"단위 확인",IF(AND(OR(B9="입고",B9="기초"),G9=""),"단가 미입력",IF(OR(A9&lt;상품·기준!$C$14,A9&gt;상품·기준!$C$15),"기간 밖",IF(AND(H9&lt;&gt;"아니오",C9&lt;&gt;"",COUNTIFS($C$7:$C$306,C9,$B$7:$B$306,B9,$F$7:$F$306,F9,$H$7:$H$306,"&lt;&gt;아니오")&gt;1),"중복 의심(같은 문서번호·구분·상태)","정상")))))))))))</f>
        <v/>
      </c>
      <c r="N9" s="15" t="str">
        <f t="shared" si="1"/>
        <v/>
      </c>
    </row>
    <row r="10" spans="1:14">
      <c r="A10" s="7"/>
      <c r="B10" s="3"/>
      <c r="C10" s="3"/>
      <c r="D10" s="3"/>
      <c r="E10" s="3"/>
      <c r="F10" s="3"/>
      <c r="G10" s="6"/>
      <c r="H10" s="3"/>
      <c r="I10" s="3"/>
      <c r="J10" s="3"/>
      <c r="K10" s="4" t="str">
        <f>IF(AND(D10="",E10=""),"",IF(E10="",1,IFERROR(INDEX(상품·기준!$C$35:$C$38,MATCH(E10,상품·기준!$A$35:$A$38,0)),"단위 확인")))</f>
        <v/>
      </c>
      <c r="L10" s="4" t="str">
        <f t="shared" si="0"/>
        <v/>
      </c>
      <c r="M10" s="4" t="str">
        <f>IF(COUNTA(A10:J10)=0,"",IF(A10="","날짜 미입력",IF(NOT(ISNUMBER(A10)),"날짜 확인(날짜 형식이 아님)",IF(B10="","구분 미입력",IF(D10="","수량 미입력",IF(NOT(ISNUMBER(D10)),"수량 확인(숫자가 아님)",IF(AND(D10&lt;0,B10&lt;&gt;"조정"),"음수 수량(구분으로 방향 표시)",IF(NOT(ISNUMBER(K10)),"단위 확인",IF(AND(OR(B10="입고",B10="기초"),G10=""),"단가 미입력",IF(OR(A10&lt;상품·기준!$C$14,A10&gt;상품·기준!$C$15),"기간 밖",IF(AND(H10&lt;&gt;"아니오",C10&lt;&gt;"",COUNTIFS($C$7:$C$306,C10,$B$7:$B$306,B10,$F$7:$F$306,F10,$H$7:$H$306,"&lt;&gt;아니오")&gt;1),"중복 의심(같은 문서번호·구분·상태)","정상")))))))))))</f>
        <v/>
      </c>
      <c r="N10" s="15" t="str">
        <f t="shared" si="1"/>
        <v/>
      </c>
    </row>
    <row r="11" spans="1:14">
      <c r="A11" s="7"/>
      <c r="B11" s="3"/>
      <c r="C11" s="3"/>
      <c r="D11" s="3"/>
      <c r="E11" s="3"/>
      <c r="F11" s="3"/>
      <c r="G11" s="6"/>
      <c r="H11" s="3"/>
      <c r="I11" s="3"/>
      <c r="J11" s="3"/>
      <c r="K11" s="4" t="str">
        <f>IF(AND(D11="",E11=""),"",IF(E11="",1,IFERROR(INDEX(상품·기준!$C$35:$C$38,MATCH(E11,상품·기준!$A$35:$A$38,0)),"단위 확인")))</f>
        <v/>
      </c>
      <c r="L11" s="4" t="str">
        <f t="shared" si="0"/>
        <v/>
      </c>
      <c r="M11" s="4" t="str">
        <f>IF(COUNTA(A11:J11)=0,"",IF(A11="","날짜 미입력",IF(NOT(ISNUMBER(A11)),"날짜 확인(날짜 형식이 아님)",IF(B11="","구분 미입력",IF(D11="","수량 미입력",IF(NOT(ISNUMBER(D11)),"수량 확인(숫자가 아님)",IF(AND(D11&lt;0,B11&lt;&gt;"조정"),"음수 수량(구분으로 방향 표시)",IF(NOT(ISNUMBER(K11)),"단위 확인",IF(AND(OR(B11="입고",B11="기초"),G11=""),"단가 미입력",IF(OR(A11&lt;상품·기준!$C$14,A11&gt;상품·기준!$C$15),"기간 밖",IF(AND(H11&lt;&gt;"아니오",C11&lt;&gt;"",COUNTIFS($C$7:$C$306,C11,$B$7:$B$306,B11,$F$7:$F$306,F11,$H$7:$H$306,"&lt;&gt;아니오")&gt;1),"중복 의심(같은 문서번호·구분·상태)","정상")))))))))))</f>
        <v/>
      </c>
      <c r="N11" s="15" t="str">
        <f t="shared" si="1"/>
        <v/>
      </c>
    </row>
    <row r="12" spans="1:14">
      <c r="A12" s="7"/>
      <c r="B12" s="3"/>
      <c r="C12" s="3"/>
      <c r="D12" s="3"/>
      <c r="E12" s="3"/>
      <c r="F12" s="3"/>
      <c r="G12" s="6"/>
      <c r="H12" s="3"/>
      <c r="I12" s="3"/>
      <c r="J12" s="3"/>
      <c r="K12" s="4" t="str">
        <f>IF(AND(D12="",E12=""),"",IF(E12="",1,IFERROR(INDEX(상품·기준!$C$35:$C$38,MATCH(E12,상품·기준!$A$35:$A$38,0)),"단위 확인")))</f>
        <v/>
      </c>
      <c r="L12" s="4" t="str">
        <f t="shared" si="0"/>
        <v/>
      </c>
      <c r="M12" s="4" t="str">
        <f>IF(COUNTA(A12:J12)=0,"",IF(A12="","날짜 미입력",IF(NOT(ISNUMBER(A12)),"날짜 확인(날짜 형식이 아님)",IF(B12="","구분 미입력",IF(D12="","수량 미입력",IF(NOT(ISNUMBER(D12)),"수량 확인(숫자가 아님)",IF(AND(D12&lt;0,B12&lt;&gt;"조정"),"음수 수량(구분으로 방향 표시)",IF(NOT(ISNUMBER(K12)),"단위 확인",IF(AND(OR(B12="입고",B12="기초"),G12=""),"단가 미입력",IF(OR(A12&lt;상품·기준!$C$14,A12&gt;상품·기준!$C$15),"기간 밖",IF(AND(H12&lt;&gt;"아니오",C12&lt;&gt;"",COUNTIFS($C$7:$C$306,C12,$B$7:$B$306,B12,$F$7:$F$306,F12,$H$7:$H$306,"&lt;&gt;아니오")&gt;1),"중복 의심(같은 문서번호·구분·상태)","정상")))))))))))</f>
        <v/>
      </c>
      <c r="N12" s="15" t="str">
        <f t="shared" si="1"/>
        <v/>
      </c>
    </row>
    <row r="13" spans="1:14">
      <c r="A13" s="7"/>
      <c r="B13" s="3"/>
      <c r="C13" s="3"/>
      <c r="D13" s="3"/>
      <c r="E13" s="3"/>
      <c r="F13" s="3"/>
      <c r="G13" s="6"/>
      <c r="H13" s="3"/>
      <c r="I13" s="3"/>
      <c r="J13" s="3"/>
      <c r="K13" s="4" t="str">
        <f>IF(AND(D13="",E13=""),"",IF(E13="",1,IFERROR(INDEX(상품·기준!$C$35:$C$38,MATCH(E13,상품·기준!$A$35:$A$38,0)),"단위 확인")))</f>
        <v/>
      </c>
      <c r="L13" s="4" t="str">
        <f t="shared" si="0"/>
        <v/>
      </c>
      <c r="M13" s="4" t="str">
        <f>IF(COUNTA(A13:J13)=0,"",IF(A13="","날짜 미입력",IF(NOT(ISNUMBER(A13)),"날짜 확인(날짜 형식이 아님)",IF(B13="","구분 미입력",IF(D13="","수량 미입력",IF(NOT(ISNUMBER(D13)),"수량 확인(숫자가 아님)",IF(AND(D13&lt;0,B13&lt;&gt;"조정"),"음수 수량(구분으로 방향 표시)",IF(NOT(ISNUMBER(K13)),"단위 확인",IF(AND(OR(B13="입고",B13="기초"),G13=""),"단가 미입력",IF(OR(A13&lt;상품·기준!$C$14,A13&gt;상품·기준!$C$15),"기간 밖",IF(AND(H13&lt;&gt;"아니오",C13&lt;&gt;"",COUNTIFS($C$7:$C$306,C13,$B$7:$B$306,B13,$F$7:$F$306,F13,$H$7:$H$306,"&lt;&gt;아니오")&gt;1),"중복 의심(같은 문서번호·구분·상태)","정상")))))))))))</f>
        <v/>
      </c>
      <c r="N13" s="15" t="str">
        <f t="shared" si="1"/>
        <v/>
      </c>
    </row>
    <row r="14" spans="1:14">
      <c r="A14" s="7"/>
      <c r="B14" s="3"/>
      <c r="C14" s="3"/>
      <c r="D14" s="3"/>
      <c r="E14" s="3"/>
      <c r="F14" s="3"/>
      <c r="G14" s="6"/>
      <c r="H14" s="3"/>
      <c r="I14" s="3"/>
      <c r="J14" s="3"/>
      <c r="K14" s="4" t="str">
        <f>IF(AND(D14="",E14=""),"",IF(E14="",1,IFERROR(INDEX(상품·기준!$C$35:$C$38,MATCH(E14,상품·기준!$A$35:$A$38,0)),"단위 확인")))</f>
        <v/>
      </c>
      <c r="L14" s="4" t="str">
        <f t="shared" si="0"/>
        <v/>
      </c>
      <c r="M14" s="4" t="str">
        <f>IF(COUNTA(A14:J14)=0,"",IF(A14="","날짜 미입력",IF(NOT(ISNUMBER(A14)),"날짜 확인(날짜 형식이 아님)",IF(B14="","구분 미입력",IF(D14="","수량 미입력",IF(NOT(ISNUMBER(D14)),"수량 확인(숫자가 아님)",IF(AND(D14&lt;0,B14&lt;&gt;"조정"),"음수 수량(구분으로 방향 표시)",IF(NOT(ISNUMBER(K14)),"단위 확인",IF(AND(OR(B14="입고",B14="기초"),G14=""),"단가 미입력",IF(OR(A14&lt;상품·기준!$C$14,A14&gt;상품·기준!$C$15),"기간 밖",IF(AND(H14&lt;&gt;"아니오",C14&lt;&gt;"",COUNTIFS($C$7:$C$306,C14,$B$7:$B$306,B14,$F$7:$F$306,F14,$H$7:$H$306,"&lt;&gt;아니오")&gt;1),"중복 의심(같은 문서번호·구분·상태)","정상")))))))))))</f>
        <v/>
      </c>
      <c r="N14" s="15" t="str">
        <f t="shared" si="1"/>
        <v/>
      </c>
    </row>
    <row r="15" spans="1:14">
      <c r="A15" s="7"/>
      <c r="B15" s="3"/>
      <c r="C15" s="3"/>
      <c r="D15" s="3"/>
      <c r="E15" s="3"/>
      <c r="F15" s="3"/>
      <c r="G15" s="6"/>
      <c r="H15" s="3"/>
      <c r="I15" s="3"/>
      <c r="J15" s="3"/>
      <c r="K15" s="4" t="str">
        <f>IF(AND(D15="",E15=""),"",IF(E15="",1,IFERROR(INDEX(상품·기준!$C$35:$C$38,MATCH(E15,상품·기준!$A$35:$A$38,0)),"단위 확인")))</f>
        <v/>
      </c>
      <c r="L15" s="4" t="str">
        <f t="shared" si="0"/>
        <v/>
      </c>
      <c r="M15" s="4" t="str">
        <f>IF(COUNTA(A15:J15)=0,"",IF(A15="","날짜 미입력",IF(NOT(ISNUMBER(A15)),"날짜 확인(날짜 형식이 아님)",IF(B15="","구분 미입력",IF(D15="","수량 미입력",IF(NOT(ISNUMBER(D15)),"수량 확인(숫자가 아님)",IF(AND(D15&lt;0,B15&lt;&gt;"조정"),"음수 수량(구분으로 방향 표시)",IF(NOT(ISNUMBER(K15)),"단위 확인",IF(AND(OR(B15="입고",B15="기초"),G15=""),"단가 미입력",IF(OR(A15&lt;상품·기준!$C$14,A15&gt;상품·기준!$C$15),"기간 밖",IF(AND(H15&lt;&gt;"아니오",C15&lt;&gt;"",COUNTIFS($C$7:$C$306,C15,$B$7:$B$306,B15,$F$7:$F$306,F15,$H$7:$H$306,"&lt;&gt;아니오")&gt;1),"중복 의심(같은 문서번호·구분·상태)","정상")))))))))))</f>
        <v/>
      </c>
      <c r="N15" s="15" t="str">
        <f t="shared" si="1"/>
        <v/>
      </c>
    </row>
    <row r="16" spans="1:14">
      <c r="A16" s="7"/>
      <c r="B16" s="3"/>
      <c r="C16" s="3"/>
      <c r="D16" s="3"/>
      <c r="E16" s="3"/>
      <c r="F16" s="3"/>
      <c r="G16" s="6"/>
      <c r="H16" s="3"/>
      <c r="I16" s="3"/>
      <c r="J16" s="3"/>
      <c r="K16" s="4" t="str">
        <f>IF(AND(D16="",E16=""),"",IF(E16="",1,IFERROR(INDEX(상품·기준!$C$35:$C$38,MATCH(E16,상품·기준!$A$35:$A$38,0)),"단위 확인")))</f>
        <v/>
      </c>
      <c r="L16" s="4" t="str">
        <f t="shared" si="0"/>
        <v/>
      </c>
      <c r="M16" s="4" t="str">
        <f>IF(COUNTA(A16:J16)=0,"",IF(A16="","날짜 미입력",IF(NOT(ISNUMBER(A16)),"날짜 확인(날짜 형식이 아님)",IF(B16="","구분 미입력",IF(D16="","수량 미입력",IF(NOT(ISNUMBER(D16)),"수량 확인(숫자가 아님)",IF(AND(D16&lt;0,B16&lt;&gt;"조정"),"음수 수량(구분으로 방향 표시)",IF(NOT(ISNUMBER(K16)),"단위 확인",IF(AND(OR(B16="입고",B16="기초"),G16=""),"단가 미입력",IF(OR(A16&lt;상품·기준!$C$14,A16&gt;상품·기준!$C$15),"기간 밖",IF(AND(H16&lt;&gt;"아니오",C16&lt;&gt;"",COUNTIFS($C$7:$C$306,C16,$B$7:$B$306,B16,$F$7:$F$306,F16,$H$7:$H$306,"&lt;&gt;아니오")&gt;1),"중복 의심(같은 문서번호·구분·상태)","정상")))))))))))</f>
        <v/>
      </c>
      <c r="N16" s="15" t="str">
        <f t="shared" si="1"/>
        <v/>
      </c>
    </row>
    <row r="17" spans="1:14">
      <c r="A17" s="7"/>
      <c r="B17" s="3"/>
      <c r="C17" s="3"/>
      <c r="D17" s="3"/>
      <c r="E17" s="3"/>
      <c r="F17" s="3"/>
      <c r="G17" s="6"/>
      <c r="H17" s="3"/>
      <c r="I17" s="3"/>
      <c r="J17" s="3"/>
      <c r="K17" s="4" t="str">
        <f>IF(AND(D17="",E17=""),"",IF(E17="",1,IFERROR(INDEX(상품·기준!$C$35:$C$38,MATCH(E17,상품·기준!$A$35:$A$38,0)),"단위 확인")))</f>
        <v/>
      </c>
      <c r="L17" s="4" t="str">
        <f t="shared" si="0"/>
        <v/>
      </c>
      <c r="M17" s="4" t="str">
        <f>IF(COUNTA(A17:J17)=0,"",IF(A17="","날짜 미입력",IF(NOT(ISNUMBER(A17)),"날짜 확인(날짜 형식이 아님)",IF(B17="","구분 미입력",IF(D17="","수량 미입력",IF(NOT(ISNUMBER(D17)),"수량 확인(숫자가 아님)",IF(AND(D17&lt;0,B17&lt;&gt;"조정"),"음수 수량(구분으로 방향 표시)",IF(NOT(ISNUMBER(K17)),"단위 확인",IF(AND(OR(B17="입고",B17="기초"),G17=""),"단가 미입력",IF(OR(A17&lt;상품·기준!$C$14,A17&gt;상품·기준!$C$15),"기간 밖",IF(AND(H17&lt;&gt;"아니오",C17&lt;&gt;"",COUNTIFS($C$7:$C$306,C17,$B$7:$B$306,B17,$F$7:$F$306,F17,$H$7:$H$306,"&lt;&gt;아니오")&gt;1),"중복 의심(같은 문서번호·구분·상태)","정상")))))))))))</f>
        <v/>
      </c>
      <c r="N17" s="15" t="str">
        <f t="shared" si="1"/>
        <v/>
      </c>
    </row>
    <row r="18" spans="1:14">
      <c r="A18" s="7"/>
      <c r="B18" s="3"/>
      <c r="C18" s="3"/>
      <c r="D18" s="3"/>
      <c r="E18" s="3"/>
      <c r="F18" s="3"/>
      <c r="G18" s="6"/>
      <c r="H18" s="3"/>
      <c r="I18" s="3"/>
      <c r="J18" s="3"/>
      <c r="K18" s="4" t="str">
        <f>IF(AND(D18="",E18=""),"",IF(E18="",1,IFERROR(INDEX(상품·기준!$C$35:$C$38,MATCH(E18,상품·기준!$A$35:$A$38,0)),"단위 확인")))</f>
        <v/>
      </c>
      <c r="L18" s="4" t="str">
        <f t="shared" si="0"/>
        <v/>
      </c>
      <c r="M18" s="4" t="str">
        <f>IF(COUNTA(A18:J18)=0,"",IF(A18="","날짜 미입력",IF(NOT(ISNUMBER(A18)),"날짜 확인(날짜 형식이 아님)",IF(B18="","구분 미입력",IF(D18="","수량 미입력",IF(NOT(ISNUMBER(D18)),"수량 확인(숫자가 아님)",IF(AND(D18&lt;0,B18&lt;&gt;"조정"),"음수 수량(구분으로 방향 표시)",IF(NOT(ISNUMBER(K18)),"단위 확인",IF(AND(OR(B18="입고",B18="기초"),G18=""),"단가 미입력",IF(OR(A18&lt;상품·기준!$C$14,A18&gt;상품·기준!$C$15),"기간 밖",IF(AND(H18&lt;&gt;"아니오",C18&lt;&gt;"",COUNTIFS($C$7:$C$306,C18,$B$7:$B$306,B18,$F$7:$F$306,F18,$H$7:$H$306,"&lt;&gt;아니오")&gt;1),"중복 의심(같은 문서번호·구분·상태)","정상")))))))))))</f>
        <v/>
      </c>
      <c r="N18" s="15" t="str">
        <f t="shared" si="1"/>
        <v/>
      </c>
    </row>
    <row r="19" spans="1:14">
      <c r="A19" s="7"/>
      <c r="B19" s="3"/>
      <c r="C19" s="3"/>
      <c r="D19" s="3"/>
      <c r="E19" s="3"/>
      <c r="F19" s="3"/>
      <c r="G19" s="6"/>
      <c r="H19" s="3"/>
      <c r="I19" s="3"/>
      <c r="J19" s="3"/>
      <c r="K19" s="4" t="str">
        <f>IF(AND(D19="",E19=""),"",IF(E19="",1,IFERROR(INDEX(상품·기준!$C$35:$C$38,MATCH(E19,상품·기준!$A$35:$A$38,0)),"단위 확인")))</f>
        <v/>
      </c>
      <c r="L19" s="4" t="str">
        <f t="shared" si="0"/>
        <v/>
      </c>
      <c r="M19" s="4" t="str">
        <f>IF(COUNTA(A19:J19)=0,"",IF(A19="","날짜 미입력",IF(NOT(ISNUMBER(A19)),"날짜 확인(날짜 형식이 아님)",IF(B19="","구분 미입력",IF(D19="","수량 미입력",IF(NOT(ISNUMBER(D19)),"수량 확인(숫자가 아님)",IF(AND(D19&lt;0,B19&lt;&gt;"조정"),"음수 수량(구분으로 방향 표시)",IF(NOT(ISNUMBER(K19)),"단위 확인",IF(AND(OR(B19="입고",B19="기초"),G19=""),"단가 미입력",IF(OR(A19&lt;상품·기준!$C$14,A19&gt;상품·기준!$C$15),"기간 밖",IF(AND(H19&lt;&gt;"아니오",C19&lt;&gt;"",COUNTIFS($C$7:$C$306,C19,$B$7:$B$306,B19,$F$7:$F$306,F19,$H$7:$H$306,"&lt;&gt;아니오")&gt;1),"중복 의심(같은 문서번호·구분·상태)","정상")))))))))))</f>
        <v/>
      </c>
      <c r="N19" s="15" t="str">
        <f t="shared" si="1"/>
        <v/>
      </c>
    </row>
    <row r="20" spans="1:14">
      <c r="A20" s="7"/>
      <c r="B20" s="3"/>
      <c r="C20" s="3"/>
      <c r="D20" s="3"/>
      <c r="E20" s="3"/>
      <c r="F20" s="3"/>
      <c r="G20" s="6"/>
      <c r="H20" s="3"/>
      <c r="I20" s="3"/>
      <c r="J20" s="3"/>
      <c r="K20" s="4" t="str">
        <f>IF(AND(D20="",E20=""),"",IF(E20="",1,IFERROR(INDEX(상품·기준!$C$35:$C$38,MATCH(E20,상품·기준!$A$35:$A$38,0)),"단위 확인")))</f>
        <v/>
      </c>
      <c r="L20" s="4" t="str">
        <f t="shared" si="0"/>
        <v/>
      </c>
      <c r="M20" s="4" t="str">
        <f>IF(COUNTA(A20:J20)=0,"",IF(A20="","날짜 미입력",IF(NOT(ISNUMBER(A20)),"날짜 확인(날짜 형식이 아님)",IF(B20="","구분 미입력",IF(D20="","수량 미입력",IF(NOT(ISNUMBER(D20)),"수량 확인(숫자가 아님)",IF(AND(D20&lt;0,B20&lt;&gt;"조정"),"음수 수량(구분으로 방향 표시)",IF(NOT(ISNUMBER(K20)),"단위 확인",IF(AND(OR(B20="입고",B20="기초"),G20=""),"단가 미입력",IF(OR(A20&lt;상품·기준!$C$14,A20&gt;상품·기준!$C$15),"기간 밖",IF(AND(H20&lt;&gt;"아니오",C20&lt;&gt;"",COUNTIFS($C$7:$C$306,C20,$B$7:$B$306,B20,$F$7:$F$306,F20,$H$7:$H$306,"&lt;&gt;아니오")&gt;1),"중복 의심(같은 문서번호·구분·상태)","정상")))))))))))</f>
        <v/>
      </c>
      <c r="N20" s="15" t="str">
        <f t="shared" si="1"/>
        <v/>
      </c>
    </row>
    <row r="21" spans="1:14">
      <c r="A21" s="7"/>
      <c r="B21" s="3"/>
      <c r="C21" s="3"/>
      <c r="D21" s="3"/>
      <c r="E21" s="3"/>
      <c r="F21" s="3"/>
      <c r="G21" s="6"/>
      <c r="H21" s="3"/>
      <c r="I21" s="3"/>
      <c r="J21" s="3"/>
      <c r="K21" s="4" t="str">
        <f>IF(AND(D21="",E21=""),"",IF(E21="",1,IFERROR(INDEX(상품·기준!$C$35:$C$38,MATCH(E21,상품·기준!$A$35:$A$38,0)),"단위 확인")))</f>
        <v/>
      </c>
      <c r="L21" s="4" t="str">
        <f t="shared" si="0"/>
        <v/>
      </c>
      <c r="M21" s="4" t="str">
        <f>IF(COUNTA(A21:J21)=0,"",IF(A21="","날짜 미입력",IF(NOT(ISNUMBER(A21)),"날짜 확인(날짜 형식이 아님)",IF(B21="","구분 미입력",IF(D21="","수량 미입력",IF(NOT(ISNUMBER(D21)),"수량 확인(숫자가 아님)",IF(AND(D21&lt;0,B21&lt;&gt;"조정"),"음수 수량(구분으로 방향 표시)",IF(NOT(ISNUMBER(K21)),"단위 확인",IF(AND(OR(B21="입고",B21="기초"),G21=""),"단가 미입력",IF(OR(A21&lt;상품·기준!$C$14,A21&gt;상품·기준!$C$15),"기간 밖",IF(AND(H21&lt;&gt;"아니오",C21&lt;&gt;"",COUNTIFS($C$7:$C$306,C21,$B$7:$B$306,B21,$F$7:$F$306,F21,$H$7:$H$306,"&lt;&gt;아니오")&gt;1),"중복 의심(같은 문서번호·구분·상태)","정상")))))))))))</f>
        <v/>
      </c>
      <c r="N21" s="15" t="str">
        <f t="shared" si="1"/>
        <v/>
      </c>
    </row>
    <row r="22" spans="1:14">
      <c r="A22" s="7"/>
      <c r="B22" s="3"/>
      <c r="C22" s="3"/>
      <c r="D22" s="3"/>
      <c r="E22" s="3"/>
      <c r="F22" s="3"/>
      <c r="G22" s="6"/>
      <c r="H22" s="3"/>
      <c r="I22" s="3"/>
      <c r="J22" s="3"/>
      <c r="K22" s="4" t="str">
        <f>IF(AND(D22="",E22=""),"",IF(E22="",1,IFERROR(INDEX(상품·기준!$C$35:$C$38,MATCH(E22,상품·기준!$A$35:$A$38,0)),"단위 확인")))</f>
        <v/>
      </c>
      <c r="L22" s="4" t="str">
        <f t="shared" si="0"/>
        <v/>
      </c>
      <c r="M22" s="4" t="str">
        <f>IF(COUNTA(A22:J22)=0,"",IF(A22="","날짜 미입력",IF(NOT(ISNUMBER(A22)),"날짜 확인(날짜 형식이 아님)",IF(B22="","구분 미입력",IF(D22="","수량 미입력",IF(NOT(ISNUMBER(D22)),"수량 확인(숫자가 아님)",IF(AND(D22&lt;0,B22&lt;&gt;"조정"),"음수 수량(구분으로 방향 표시)",IF(NOT(ISNUMBER(K22)),"단위 확인",IF(AND(OR(B22="입고",B22="기초"),G22=""),"단가 미입력",IF(OR(A22&lt;상품·기준!$C$14,A22&gt;상품·기준!$C$15),"기간 밖",IF(AND(H22&lt;&gt;"아니오",C22&lt;&gt;"",COUNTIFS($C$7:$C$306,C22,$B$7:$B$306,B22,$F$7:$F$306,F22,$H$7:$H$306,"&lt;&gt;아니오")&gt;1),"중복 의심(같은 문서번호·구분·상태)","정상")))))))))))</f>
        <v/>
      </c>
      <c r="N22" s="15" t="str">
        <f t="shared" si="1"/>
        <v/>
      </c>
    </row>
    <row r="23" spans="1:14">
      <c r="A23" s="7"/>
      <c r="B23" s="3"/>
      <c r="C23" s="3"/>
      <c r="D23" s="3"/>
      <c r="E23" s="3"/>
      <c r="F23" s="3"/>
      <c r="G23" s="6"/>
      <c r="H23" s="3"/>
      <c r="I23" s="3"/>
      <c r="J23" s="3"/>
      <c r="K23" s="4" t="str">
        <f>IF(AND(D23="",E23=""),"",IF(E23="",1,IFERROR(INDEX(상품·기준!$C$35:$C$38,MATCH(E23,상품·기준!$A$35:$A$38,0)),"단위 확인")))</f>
        <v/>
      </c>
      <c r="L23" s="4" t="str">
        <f t="shared" si="0"/>
        <v/>
      </c>
      <c r="M23" s="4" t="str">
        <f>IF(COUNTA(A23:J23)=0,"",IF(A23="","날짜 미입력",IF(NOT(ISNUMBER(A23)),"날짜 확인(날짜 형식이 아님)",IF(B23="","구분 미입력",IF(D23="","수량 미입력",IF(NOT(ISNUMBER(D23)),"수량 확인(숫자가 아님)",IF(AND(D23&lt;0,B23&lt;&gt;"조정"),"음수 수량(구분으로 방향 표시)",IF(NOT(ISNUMBER(K23)),"단위 확인",IF(AND(OR(B23="입고",B23="기초"),G23=""),"단가 미입력",IF(OR(A23&lt;상품·기준!$C$14,A23&gt;상품·기준!$C$15),"기간 밖",IF(AND(H23&lt;&gt;"아니오",C23&lt;&gt;"",COUNTIFS($C$7:$C$306,C23,$B$7:$B$306,B23,$F$7:$F$306,F23,$H$7:$H$306,"&lt;&gt;아니오")&gt;1),"중복 의심(같은 문서번호·구분·상태)","정상")))))))))))</f>
        <v/>
      </c>
      <c r="N23" s="15" t="str">
        <f t="shared" si="1"/>
        <v/>
      </c>
    </row>
    <row r="24" spans="1:14">
      <c r="A24" s="7"/>
      <c r="B24" s="3"/>
      <c r="C24" s="3"/>
      <c r="D24" s="3"/>
      <c r="E24" s="3"/>
      <c r="F24" s="3"/>
      <c r="G24" s="6"/>
      <c r="H24" s="3"/>
      <c r="I24" s="3"/>
      <c r="J24" s="3"/>
      <c r="K24" s="4" t="str">
        <f>IF(AND(D24="",E24=""),"",IF(E24="",1,IFERROR(INDEX(상품·기준!$C$35:$C$38,MATCH(E24,상품·기준!$A$35:$A$38,0)),"단위 확인")))</f>
        <v/>
      </c>
      <c r="L24" s="4" t="str">
        <f t="shared" si="0"/>
        <v/>
      </c>
      <c r="M24" s="4" t="str">
        <f>IF(COUNTA(A24:J24)=0,"",IF(A24="","날짜 미입력",IF(NOT(ISNUMBER(A24)),"날짜 확인(날짜 형식이 아님)",IF(B24="","구분 미입력",IF(D24="","수량 미입력",IF(NOT(ISNUMBER(D24)),"수량 확인(숫자가 아님)",IF(AND(D24&lt;0,B24&lt;&gt;"조정"),"음수 수량(구분으로 방향 표시)",IF(NOT(ISNUMBER(K24)),"단위 확인",IF(AND(OR(B24="입고",B24="기초"),G24=""),"단가 미입력",IF(OR(A24&lt;상품·기준!$C$14,A24&gt;상품·기준!$C$15),"기간 밖",IF(AND(H24&lt;&gt;"아니오",C24&lt;&gt;"",COUNTIFS($C$7:$C$306,C24,$B$7:$B$306,B24,$F$7:$F$306,F24,$H$7:$H$306,"&lt;&gt;아니오")&gt;1),"중복 의심(같은 문서번호·구분·상태)","정상")))))))))))</f>
        <v/>
      </c>
      <c r="N24" s="15" t="str">
        <f t="shared" si="1"/>
        <v/>
      </c>
    </row>
    <row r="25" spans="1:14">
      <c r="A25" s="7"/>
      <c r="B25" s="3"/>
      <c r="C25" s="3"/>
      <c r="D25" s="3"/>
      <c r="E25" s="3"/>
      <c r="F25" s="3"/>
      <c r="G25" s="6"/>
      <c r="H25" s="3"/>
      <c r="I25" s="3"/>
      <c r="J25" s="3"/>
      <c r="K25" s="4" t="str">
        <f>IF(AND(D25="",E25=""),"",IF(E25="",1,IFERROR(INDEX(상품·기준!$C$35:$C$38,MATCH(E25,상품·기준!$A$35:$A$38,0)),"단위 확인")))</f>
        <v/>
      </c>
      <c r="L25" s="4" t="str">
        <f t="shared" si="0"/>
        <v/>
      </c>
      <c r="M25" s="4" t="str">
        <f>IF(COUNTA(A25:J25)=0,"",IF(A25="","날짜 미입력",IF(NOT(ISNUMBER(A25)),"날짜 확인(날짜 형식이 아님)",IF(B25="","구분 미입력",IF(D25="","수량 미입력",IF(NOT(ISNUMBER(D25)),"수량 확인(숫자가 아님)",IF(AND(D25&lt;0,B25&lt;&gt;"조정"),"음수 수량(구분으로 방향 표시)",IF(NOT(ISNUMBER(K25)),"단위 확인",IF(AND(OR(B25="입고",B25="기초"),G25=""),"단가 미입력",IF(OR(A25&lt;상품·기준!$C$14,A25&gt;상품·기준!$C$15),"기간 밖",IF(AND(H25&lt;&gt;"아니오",C25&lt;&gt;"",COUNTIFS($C$7:$C$306,C25,$B$7:$B$306,B25,$F$7:$F$306,F25,$H$7:$H$306,"&lt;&gt;아니오")&gt;1),"중복 의심(같은 문서번호·구분·상태)","정상")))))))))))</f>
        <v/>
      </c>
      <c r="N25" s="15" t="str">
        <f t="shared" si="1"/>
        <v/>
      </c>
    </row>
    <row r="26" spans="1:14">
      <c r="A26" s="7"/>
      <c r="B26" s="3"/>
      <c r="C26" s="3"/>
      <c r="D26" s="3"/>
      <c r="E26" s="3"/>
      <c r="F26" s="3"/>
      <c r="G26" s="6"/>
      <c r="H26" s="3"/>
      <c r="I26" s="3"/>
      <c r="J26" s="3"/>
      <c r="K26" s="4" t="str">
        <f>IF(AND(D26="",E26=""),"",IF(E26="",1,IFERROR(INDEX(상품·기준!$C$35:$C$38,MATCH(E26,상품·기준!$A$35:$A$38,0)),"단위 확인")))</f>
        <v/>
      </c>
      <c r="L26" s="4" t="str">
        <f t="shared" si="0"/>
        <v/>
      </c>
      <c r="M26" s="4" t="str">
        <f>IF(COUNTA(A26:J26)=0,"",IF(A26="","날짜 미입력",IF(NOT(ISNUMBER(A26)),"날짜 확인(날짜 형식이 아님)",IF(B26="","구분 미입력",IF(D26="","수량 미입력",IF(NOT(ISNUMBER(D26)),"수량 확인(숫자가 아님)",IF(AND(D26&lt;0,B26&lt;&gt;"조정"),"음수 수량(구분으로 방향 표시)",IF(NOT(ISNUMBER(K26)),"단위 확인",IF(AND(OR(B26="입고",B26="기초"),G26=""),"단가 미입력",IF(OR(A26&lt;상품·기준!$C$14,A26&gt;상품·기준!$C$15),"기간 밖",IF(AND(H26&lt;&gt;"아니오",C26&lt;&gt;"",COUNTIFS($C$7:$C$306,C26,$B$7:$B$306,B26,$F$7:$F$306,F26,$H$7:$H$306,"&lt;&gt;아니오")&gt;1),"중복 의심(같은 문서번호·구분·상태)","정상")))))))))))</f>
        <v/>
      </c>
      <c r="N26" s="15" t="str">
        <f t="shared" si="1"/>
        <v/>
      </c>
    </row>
    <row r="27" spans="1:14">
      <c r="A27" s="7"/>
      <c r="B27" s="3"/>
      <c r="C27" s="3"/>
      <c r="D27" s="3"/>
      <c r="E27" s="3"/>
      <c r="F27" s="3"/>
      <c r="G27" s="6"/>
      <c r="H27" s="3"/>
      <c r="I27" s="3"/>
      <c r="J27" s="3"/>
      <c r="K27" s="4" t="str">
        <f>IF(AND(D27="",E27=""),"",IF(E27="",1,IFERROR(INDEX(상품·기준!$C$35:$C$38,MATCH(E27,상품·기준!$A$35:$A$38,0)),"단위 확인")))</f>
        <v/>
      </c>
      <c r="L27" s="4" t="str">
        <f t="shared" si="0"/>
        <v/>
      </c>
      <c r="M27" s="4" t="str">
        <f>IF(COUNTA(A27:J27)=0,"",IF(A27="","날짜 미입력",IF(NOT(ISNUMBER(A27)),"날짜 확인(날짜 형식이 아님)",IF(B27="","구분 미입력",IF(D27="","수량 미입력",IF(NOT(ISNUMBER(D27)),"수량 확인(숫자가 아님)",IF(AND(D27&lt;0,B27&lt;&gt;"조정"),"음수 수량(구분으로 방향 표시)",IF(NOT(ISNUMBER(K27)),"단위 확인",IF(AND(OR(B27="입고",B27="기초"),G27=""),"단가 미입력",IF(OR(A27&lt;상품·기준!$C$14,A27&gt;상품·기준!$C$15),"기간 밖",IF(AND(H27&lt;&gt;"아니오",C27&lt;&gt;"",COUNTIFS($C$7:$C$306,C27,$B$7:$B$306,B27,$F$7:$F$306,F27,$H$7:$H$306,"&lt;&gt;아니오")&gt;1),"중복 의심(같은 문서번호·구분·상태)","정상")))))))))))</f>
        <v/>
      </c>
      <c r="N27" s="15" t="str">
        <f t="shared" si="1"/>
        <v/>
      </c>
    </row>
    <row r="28" spans="1:14">
      <c r="A28" s="7"/>
      <c r="B28" s="3"/>
      <c r="C28" s="3"/>
      <c r="D28" s="3"/>
      <c r="E28" s="3"/>
      <c r="F28" s="3"/>
      <c r="G28" s="6"/>
      <c r="H28" s="3"/>
      <c r="I28" s="3"/>
      <c r="J28" s="3"/>
      <c r="K28" s="4" t="str">
        <f>IF(AND(D28="",E28=""),"",IF(E28="",1,IFERROR(INDEX(상품·기준!$C$35:$C$38,MATCH(E28,상품·기준!$A$35:$A$38,0)),"단위 확인")))</f>
        <v/>
      </c>
      <c r="L28" s="4" t="str">
        <f t="shared" si="0"/>
        <v/>
      </c>
      <c r="M28" s="4" t="str">
        <f>IF(COUNTA(A28:J28)=0,"",IF(A28="","날짜 미입력",IF(NOT(ISNUMBER(A28)),"날짜 확인(날짜 형식이 아님)",IF(B28="","구분 미입력",IF(D28="","수량 미입력",IF(NOT(ISNUMBER(D28)),"수량 확인(숫자가 아님)",IF(AND(D28&lt;0,B28&lt;&gt;"조정"),"음수 수량(구분으로 방향 표시)",IF(NOT(ISNUMBER(K28)),"단위 확인",IF(AND(OR(B28="입고",B28="기초"),G28=""),"단가 미입력",IF(OR(A28&lt;상품·기준!$C$14,A28&gt;상품·기준!$C$15),"기간 밖",IF(AND(H28&lt;&gt;"아니오",C28&lt;&gt;"",COUNTIFS($C$7:$C$306,C28,$B$7:$B$306,B28,$F$7:$F$306,F28,$H$7:$H$306,"&lt;&gt;아니오")&gt;1),"중복 의심(같은 문서번호·구분·상태)","정상")))))))))))</f>
        <v/>
      </c>
      <c r="N28" s="15" t="str">
        <f t="shared" si="1"/>
        <v/>
      </c>
    </row>
    <row r="29" spans="1:14">
      <c r="A29" s="7"/>
      <c r="B29" s="3"/>
      <c r="C29" s="3"/>
      <c r="D29" s="3"/>
      <c r="E29" s="3"/>
      <c r="F29" s="3"/>
      <c r="G29" s="6"/>
      <c r="H29" s="3"/>
      <c r="I29" s="3"/>
      <c r="J29" s="3"/>
      <c r="K29" s="4" t="str">
        <f>IF(AND(D29="",E29=""),"",IF(E29="",1,IFERROR(INDEX(상품·기준!$C$35:$C$38,MATCH(E29,상품·기준!$A$35:$A$38,0)),"단위 확인")))</f>
        <v/>
      </c>
      <c r="L29" s="4" t="str">
        <f t="shared" si="0"/>
        <v/>
      </c>
      <c r="M29" s="4" t="str">
        <f>IF(COUNTA(A29:J29)=0,"",IF(A29="","날짜 미입력",IF(NOT(ISNUMBER(A29)),"날짜 확인(날짜 형식이 아님)",IF(B29="","구분 미입력",IF(D29="","수량 미입력",IF(NOT(ISNUMBER(D29)),"수량 확인(숫자가 아님)",IF(AND(D29&lt;0,B29&lt;&gt;"조정"),"음수 수량(구분으로 방향 표시)",IF(NOT(ISNUMBER(K29)),"단위 확인",IF(AND(OR(B29="입고",B29="기초"),G29=""),"단가 미입력",IF(OR(A29&lt;상품·기준!$C$14,A29&gt;상품·기준!$C$15),"기간 밖",IF(AND(H29&lt;&gt;"아니오",C29&lt;&gt;"",COUNTIFS($C$7:$C$306,C29,$B$7:$B$306,B29,$F$7:$F$306,F29,$H$7:$H$306,"&lt;&gt;아니오")&gt;1),"중복 의심(같은 문서번호·구분·상태)","정상")))))))))))</f>
        <v/>
      </c>
      <c r="N29" s="15" t="str">
        <f t="shared" si="1"/>
        <v/>
      </c>
    </row>
    <row r="30" spans="1:14">
      <c r="A30" s="7"/>
      <c r="B30" s="3"/>
      <c r="C30" s="3"/>
      <c r="D30" s="3"/>
      <c r="E30" s="3"/>
      <c r="F30" s="3"/>
      <c r="G30" s="6"/>
      <c r="H30" s="3"/>
      <c r="I30" s="3"/>
      <c r="J30" s="3"/>
      <c r="K30" s="4" t="str">
        <f>IF(AND(D30="",E30=""),"",IF(E30="",1,IFERROR(INDEX(상품·기준!$C$35:$C$38,MATCH(E30,상품·기준!$A$35:$A$38,0)),"단위 확인")))</f>
        <v/>
      </c>
      <c r="L30" s="4" t="str">
        <f t="shared" si="0"/>
        <v/>
      </c>
      <c r="M30" s="4" t="str">
        <f>IF(COUNTA(A30:J30)=0,"",IF(A30="","날짜 미입력",IF(NOT(ISNUMBER(A30)),"날짜 확인(날짜 형식이 아님)",IF(B30="","구분 미입력",IF(D30="","수량 미입력",IF(NOT(ISNUMBER(D30)),"수량 확인(숫자가 아님)",IF(AND(D30&lt;0,B30&lt;&gt;"조정"),"음수 수량(구분으로 방향 표시)",IF(NOT(ISNUMBER(K30)),"단위 확인",IF(AND(OR(B30="입고",B30="기초"),G30=""),"단가 미입력",IF(OR(A30&lt;상품·기준!$C$14,A30&gt;상품·기준!$C$15),"기간 밖",IF(AND(H30&lt;&gt;"아니오",C30&lt;&gt;"",COUNTIFS($C$7:$C$306,C30,$B$7:$B$306,B30,$F$7:$F$306,F30,$H$7:$H$306,"&lt;&gt;아니오")&gt;1),"중복 의심(같은 문서번호·구분·상태)","정상")))))))))))</f>
        <v/>
      </c>
      <c r="N30" s="15" t="str">
        <f t="shared" si="1"/>
        <v/>
      </c>
    </row>
    <row r="31" spans="1:14">
      <c r="A31" s="7"/>
      <c r="B31" s="3"/>
      <c r="C31" s="3"/>
      <c r="D31" s="3"/>
      <c r="E31" s="3"/>
      <c r="F31" s="3"/>
      <c r="G31" s="6"/>
      <c r="H31" s="3"/>
      <c r="I31" s="3"/>
      <c r="J31" s="3"/>
      <c r="K31" s="4" t="str">
        <f>IF(AND(D31="",E31=""),"",IF(E31="",1,IFERROR(INDEX(상품·기준!$C$35:$C$38,MATCH(E31,상품·기준!$A$35:$A$38,0)),"단위 확인")))</f>
        <v/>
      </c>
      <c r="L31" s="4" t="str">
        <f t="shared" si="0"/>
        <v/>
      </c>
      <c r="M31" s="4" t="str">
        <f>IF(COUNTA(A31:J31)=0,"",IF(A31="","날짜 미입력",IF(NOT(ISNUMBER(A31)),"날짜 확인(날짜 형식이 아님)",IF(B31="","구분 미입력",IF(D31="","수량 미입력",IF(NOT(ISNUMBER(D31)),"수량 확인(숫자가 아님)",IF(AND(D31&lt;0,B31&lt;&gt;"조정"),"음수 수량(구분으로 방향 표시)",IF(NOT(ISNUMBER(K31)),"단위 확인",IF(AND(OR(B31="입고",B31="기초"),G31=""),"단가 미입력",IF(OR(A31&lt;상품·기준!$C$14,A31&gt;상품·기준!$C$15),"기간 밖",IF(AND(H31&lt;&gt;"아니오",C31&lt;&gt;"",COUNTIFS($C$7:$C$306,C31,$B$7:$B$306,B31,$F$7:$F$306,F31,$H$7:$H$306,"&lt;&gt;아니오")&gt;1),"중복 의심(같은 문서번호·구분·상태)","정상")))))))))))</f>
        <v/>
      </c>
      <c r="N31" s="15" t="str">
        <f t="shared" si="1"/>
        <v/>
      </c>
    </row>
    <row r="32" spans="1:14">
      <c r="A32" s="7"/>
      <c r="B32" s="3"/>
      <c r="C32" s="3"/>
      <c r="D32" s="3"/>
      <c r="E32" s="3"/>
      <c r="F32" s="3"/>
      <c r="G32" s="6"/>
      <c r="H32" s="3"/>
      <c r="I32" s="3"/>
      <c r="J32" s="3"/>
      <c r="K32" s="4" t="str">
        <f>IF(AND(D32="",E32=""),"",IF(E32="",1,IFERROR(INDEX(상품·기준!$C$35:$C$38,MATCH(E32,상품·기준!$A$35:$A$38,0)),"단위 확인")))</f>
        <v/>
      </c>
      <c r="L32" s="4" t="str">
        <f t="shared" si="0"/>
        <v/>
      </c>
      <c r="M32" s="4" t="str">
        <f>IF(COUNTA(A32:J32)=0,"",IF(A32="","날짜 미입력",IF(NOT(ISNUMBER(A32)),"날짜 확인(날짜 형식이 아님)",IF(B32="","구분 미입력",IF(D32="","수량 미입력",IF(NOT(ISNUMBER(D32)),"수량 확인(숫자가 아님)",IF(AND(D32&lt;0,B32&lt;&gt;"조정"),"음수 수량(구분으로 방향 표시)",IF(NOT(ISNUMBER(K32)),"단위 확인",IF(AND(OR(B32="입고",B32="기초"),G32=""),"단가 미입력",IF(OR(A32&lt;상품·기준!$C$14,A32&gt;상품·기준!$C$15),"기간 밖",IF(AND(H32&lt;&gt;"아니오",C32&lt;&gt;"",COUNTIFS($C$7:$C$306,C32,$B$7:$B$306,B32,$F$7:$F$306,F32,$H$7:$H$306,"&lt;&gt;아니오")&gt;1),"중복 의심(같은 문서번호·구분·상태)","정상")))))))))))</f>
        <v/>
      </c>
      <c r="N32" s="15" t="str">
        <f t="shared" si="1"/>
        <v/>
      </c>
    </row>
    <row r="33" spans="1:14">
      <c r="A33" s="7"/>
      <c r="B33" s="3"/>
      <c r="C33" s="3"/>
      <c r="D33" s="3"/>
      <c r="E33" s="3"/>
      <c r="F33" s="3"/>
      <c r="G33" s="6"/>
      <c r="H33" s="3"/>
      <c r="I33" s="3"/>
      <c r="J33" s="3"/>
      <c r="K33" s="4" t="str">
        <f>IF(AND(D33="",E33=""),"",IF(E33="",1,IFERROR(INDEX(상품·기준!$C$35:$C$38,MATCH(E33,상품·기준!$A$35:$A$38,0)),"단위 확인")))</f>
        <v/>
      </c>
      <c r="L33" s="4" t="str">
        <f t="shared" si="0"/>
        <v/>
      </c>
      <c r="M33" s="4" t="str">
        <f>IF(COUNTA(A33:J33)=0,"",IF(A33="","날짜 미입력",IF(NOT(ISNUMBER(A33)),"날짜 확인(날짜 형식이 아님)",IF(B33="","구분 미입력",IF(D33="","수량 미입력",IF(NOT(ISNUMBER(D33)),"수량 확인(숫자가 아님)",IF(AND(D33&lt;0,B33&lt;&gt;"조정"),"음수 수량(구분으로 방향 표시)",IF(NOT(ISNUMBER(K33)),"단위 확인",IF(AND(OR(B33="입고",B33="기초"),G33=""),"단가 미입력",IF(OR(A33&lt;상품·기준!$C$14,A33&gt;상품·기준!$C$15),"기간 밖",IF(AND(H33&lt;&gt;"아니오",C33&lt;&gt;"",COUNTIFS($C$7:$C$306,C33,$B$7:$B$306,B33,$F$7:$F$306,F33,$H$7:$H$306,"&lt;&gt;아니오")&gt;1),"중복 의심(같은 문서번호·구분·상태)","정상")))))))))))</f>
        <v/>
      </c>
      <c r="N33" s="15" t="str">
        <f t="shared" si="1"/>
        <v/>
      </c>
    </row>
    <row r="34" spans="1:14">
      <c r="A34" s="7"/>
      <c r="B34" s="3"/>
      <c r="C34" s="3"/>
      <c r="D34" s="3"/>
      <c r="E34" s="3"/>
      <c r="F34" s="3"/>
      <c r="G34" s="6"/>
      <c r="H34" s="3"/>
      <c r="I34" s="3"/>
      <c r="J34" s="3"/>
      <c r="K34" s="4" t="str">
        <f>IF(AND(D34="",E34=""),"",IF(E34="",1,IFERROR(INDEX(상품·기준!$C$35:$C$38,MATCH(E34,상품·기준!$A$35:$A$38,0)),"단위 확인")))</f>
        <v/>
      </c>
      <c r="L34" s="4" t="str">
        <f t="shared" si="0"/>
        <v/>
      </c>
      <c r="M34" s="4" t="str">
        <f>IF(COUNTA(A34:J34)=0,"",IF(A34="","날짜 미입력",IF(NOT(ISNUMBER(A34)),"날짜 확인(날짜 형식이 아님)",IF(B34="","구분 미입력",IF(D34="","수량 미입력",IF(NOT(ISNUMBER(D34)),"수량 확인(숫자가 아님)",IF(AND(D34&lt;0,B34&lt;&gt;"조정"),"음수 수량(구분으로 방향 표시)",IF(NOT(ISNUMBER(K34)),"단위 확인",IF(AND(OR(B34="입고",B34="기초"),G34=""),"단가 미입력",IF(OR(A34&lt;상품·기준!$C$14,A34&gt;상품·기준!$C$15),"기간 밖",IF(AND(H34&lt;&gt;"아니오",C34&lt;&gt;"",COUNTIFS($C$7:$C$306,C34,$B$7:$B$306,B34,$F$7:$F$306,F34,$H$7:$H$306,"&lt;&gt;아니오")&gt;1),"중복 의심(같은 문서번호·구분·상태)","정상")))))))))))</f>
        <v/>
      </c>
      <c r="N34" s="15" t="str">
        <f t="shared" si="1"/>
        <v/>
      </c>
    </row>
    <row r="35" spans="1:14">
      <c r="A35" s="7"/>
      <c r="B35" s="3"/>
      <c r="C35" s="3"/>
      <c r="D35" s="3"/>
      <c r="E35" s="3"/>
      <c r="F35" s="3"/>
      <c r="G35" s="6"/>
      <c r="H35" s="3"/>
      <c r="I35" s="3"/>
      <c r="J35" s="3"/>
      <c r="K35" s="4" t="str">
        <f>IF(AND(D35="",E35=""),"",IF(E35="",1,IFERROR(INDEX(상품·기준!$C$35:$C$38,MATCH(E35,상품·기준!$A$35:$A$38,0)),"단위 확인")))</f>
        <v/>
      </c>
      <c r="L35" s="4" t="str">
        <f t="shared" si="0"/>
        <v/>
      </c>
      <c r="M35" s="4" t="str">
        <f>IF(COUNTA(A35:J35)=0,"",IF(A35="","날짜 미입력",IF(NOT(ISNUMBER(A35)),"날짜 확인(날짜 형식이 아님)",IF(B35="","구분 미입력",IF(D35="","수량 미입력",IF(NOT(ISNUMBER(D35)),"수량 확인(숫자가 아님)",IF(AND(D35&lt;0,B35&lt;&gt;"조정"),"음수 수량(구분으로 방향 표시)",IF(NOT(ISNUMBER(K35)),"단위 확인",IF(AND(OR(B35="입고",B35="기초"),G35=""),"단가 미입력",IF(OR(A35&lt;상품·기준!$C$14,A35&gt;상품·기준!$C$15),"기간 밖",IF(AND(H35&lt;&gt;"아니오",C35&lt;&gt;"",COUNTIFS($C$7:$C$306,C35,$B$7:$B$306,B35,$F$7:$F$306,F35,$H$7:$H$306,"&lt;&gt;아니오")&gt;1),"중복 의심(같은 문서번호·구분·상태)","정상")))))))))))</f>
        <v/>
      </c>
      <c r="N35" s="15" t="str">
        <f t="shared" si="1"/>
        <v/>
      </c>
    </row>
    <row r="36" spans="1:14">
      <c r="A36" s="7"/>
      <c r="B36" s="3"/>
      <c r="C36" s="3"/>
      <c r="D36" s="3"/>
      <c r="E36" s="3"/>
      <c r="F36" s="3"/>
      <c r="G36" s="6"/>
      <c r="H36" s="3"/>
      <c r="I36" s="3"/>
      <c r="J36" s="3"/>
      <c r="K36" s="4" t="str">
        <f>IF(AND(D36="",E36=""),"",IF(E36="",1,IFERROR(INDEX(상품·기준!$C$35:$C$38,MATCH(E36,상품·기준!$A$35:$A$38,0)),"단위 확인")))</f>
        <v/>
      </c>
      <c r="L36" s="4" t="str">
        <f t="shared" si="0"/>
        <v/>
      </c>
      <c r="M36" s="4" t="str">
        <f>IF(COUNTA(A36:J36)=0,"",IF(A36="","날짜 미입력",IF(NOT(ISNUMBER(A36)),"날짜 확인(날짜 형식이 아님)",IF(B36="","구분 미입력",IF(D36="","수량 미입력",IF(NOT(ISNUMBER(D36)),"수량 확인(숫자가 아님)",IF(AND(D36&lt;0,B36&lt;&gt;"조정"),"음수 수량(구분으로 방향 표시)",IF(NOT(ISNUMBER(K36)),"단위 확인",IF(AND(OR(B36="입고",B36="기초"),G36=""),"단가 미입력",IF(OR(A36&lt;상품·기준!$C$14,A36&gt;상품·기준!$C$15),"기간 밖",IF(AND(H36&lt;&gt;"아니오",C36&lt;&gt;"",COUNTIFS($C$7:$C$306,C36,$B$7:$B$306,B36,$F$7:$F$306,F36,$H$7:$H$306,"&lt;&gt;아니오")&gt;1),"중복 의심(같은 문서번호·구분·상태)","정상")))))))))))</f>
        <v/>
      </c>
      <c r="N36" s="15" t="str">
        <f t="shared" si="1"/>
        <v/>
      </c>
    </row>
    <row r="37" spans="1:14">
      <c r="A37" s="7"/>
      <c r="B37" s="3"/>
      <c r="C37" s="3"/>
      <c r="D37" s="3"/>
      <c r="E37" s="3"/>
      <c r="F37" s="3"/>
      <c r="G37" s="6"/>
      <c r="H37" s="3"/>
      <c r="I37" s="3"/>
      <c r="J37" s="3"/>
      <c r="K37" s="4" t="str">
        <f>IF(AND(D37="",E37=""),"",IF(E37="",1,IFERROR(INDEX(상품·기준!$C$35:$C$38,MATCH(E37,상품·기준!$A$35:$A$38,0)),"단위 확인")))</f>
        <v/>
      </c>
      <c r="L37" s="4" t="str">
        <f t="shared" si="0"/>
        <v/>
      </c>
      <c r="M37" s="4" t="str">
        <f>IF(COUNTA(A37:J37)=0,"",IF(A37="","날짜 미입력",IF(NOT(ISNUMBER(A37)),"날짜 확인(날짜 형식이 아님)",IF(B37="","구분 미입력",IF(D37="","수량 미입력",IF(NOT(ISNUMBER(D37)),"수량 확인(숫자가 아님)",IF(AND(D37&lt;0,B37&lt;&gt;"조정"),"음수 수량(구분으로 방향 표시)",IF(NOT(ISNUMBER(K37)),"단위 확인",IF(AND(OR(B37="입고",B37="기초"),G37=""),"단가 미입력",IF(OR(A37&lt;상품·기준!$C$14,A37&gt;상품·기준!$C$15),"기간 밖",IF(AND(H37&lt;&gt;"아니오",C37&lt;&gt;"",COUNTIFS($C$7:$C$306,C37,$B$7:$B$306,B37,$F$7:$F$306,F37,$H$7:$H$306,"&lt;&gt;아니오")&gt;1),"중복 의심(같은 문서번호·구분·상태)","정상")))))))))))</f>
        <v/>
      </c>
      <c r="N37" s="15" t="str">
        <f t="shared" si="1"/>
        <v/>
      </c>
    </row>
    <row r="38" spans="1:14">
      <c r="A38" s="7"/>
      <c r="B38" s="3"/>
      <c r="C38" s="3"/>
      <c r="D38" s="3"/>
      <c r="E38" s="3"/>
      <c r="F38" s="3"/>
      <c r="G38" s="6"/>
      <c r="H38" s="3"/>
      <c r="I38" s="3"/>
      <c r="J38" s="3"/>
      <c r="K38" s="4" t="str">
        <f>IF(AND(D38="",E38=""),"",IF(E38="",1,IFERROR(INDEX(상품·기준!$C$35:$C$38,MATCH(E38,상품·기준!$A$35:$A$38,0)),"단위 확인")))</f>
        <v/>
      </c>
      <c r="L38" s="4" t="str">
        <f t="shared" si="0"/>
        <v/>
      </c>
      <c r="M38" s="4" t="str">
        <f>IF(COUNTA(A38:J38)=0,"",IF(A38="","날짜 미입력",IF(NOT(ISNUMBER(A38)),"날짜 확인(날짜 형식이 아님)",IF(B38="","구분 미입력",IF(D38="","수량 미입력",IF(NOT(ISNUMBER(D38)),"수량 확인(숫자가 아님)",IF(AND(D38&lt;0,B38&lt;&gt;"조정"),"음수 수량(구분으로 방향 표시)",IF(NOT(ISNUMBER(K38)),"단위 확인",IF(AND(OR(B38="입고",B38="기초"),G38=""),"단가 미입력",IF(OR(A38&lt;상품·기준!$C$14,A38&gt;상품·기준!$C$15),"기간 밖",IF(AND(H38&lt;&gt;"아니오",C38&lt;&gt;"",COUNTIFS($C$7:$C$306,C38,$B$7:$B$306,B38,$F$7:$F$306,F38,$H$7:$H$306,"&lt;&gt;아니오")&gt;1),"중복 의심(같은 문서번호·구분·상태)","정상")))))))))))</f>
        <v/>
      </c>
      <c r="N38" s="15" t="str">
        <f t="shared" si="1"/>
        <v/>
      </c>
    </row>
    <row r="39" spans="1:14">
      <c r="A39" s="7"/>
      <c r="B39" s="3"/>
      <c r="C39" s="3"/>
      <c r="D39" s="3"/>
      <c r="E39" s="3"/>
      <c r="F39" s="3"/>
      <c r="G39" s="6"/>
      <c r="H39" s="3"/>
      <c r="I39" s="3"/>
      <c r="J39" s="3"/>
      <c r="K39" s="4" t="str">
        <f>IF(AND(D39="",E39=""),"",IF(E39="",1,IFERROR(INDEX(상품·기준!$C$35:$C$38,MATCH(E39,상품·기준!$A$35:$A$38,0)),"단위 확인")))</f>
        <v/>
      </c>
      <c r="L39" s="4" t="str">
        <f t="shared" si="0"/>
        <v/>
      </c>
      <c r="M39" s="4" t="str">
        <f>IF(COUNTA(A39:J39)=0,"",IF(A39="","날짜 미입력",IF(NOT(ISNUMBER(A39)),"날짜 확인(날짜 형식이 아님)",IF(B39="","구분 미입력",IF(D39="","수량 미입력",IF(NOT(ISNUMBER(D39)),"수량 확인(숫자가 아님)",IF(AND(D39&lt;0,B39&lt;&gt;"조정"),"음수 수량(구분으로 방향 표시)",IF(NOT(ISNUMBER(K39)),"단위 확인",IF(AND(OR(B39="입고",B39="기초"),G39=""),"단가 미입력",IF(OR(A39&lt;상품·기준!$C$14,A39&gt;상품·기준!$C$15),"기간 밖",IF(AND(H39&lt;&gt;"아니오",C39&lt;&gt;"",COUNTIFS($C$7:$C$306,C39,$B$7:$B$306,B39,$F$7:$F$306,F39,$H$7:$H$306,"&lt;&gt;아니오")&gt;1),"중복 의심(같은 문서번호·구분·상태)","정상")))))))))))</f>
        <v/>
      </c>
      <c r="N39" s="15" t="str">
        <f t="shared" si="1"/>
        <v/>
      </c>
    </row>
    <row r="40" spans="1:14">
      <c r="A40" s="7"/>
      <c r="B40" s="3"/>
      <c r="C40" s="3"/>
      <c r="D40" s="3"/>
      <c r="E40" s="3"/>
      <c r="F40" s="3"/>
      <c r="G40" s="6"/>
      <c r="H40" s="3"/>
      <c r="I40" s="3"/>
      <c r="J40" s="3"/>
      <c r="K40" s="4" t="str">
        <f>IF(AND(D40="",E40=""),"",IF(E40="",1,IFERROR(INDEX(상품·기준!$C$35:$C$38,MATCH(E40,상품·기준!$A$35:$A$38,0)),"단위 확인")))</f>
        <v/>
      </c>
      <c r="L40" s="4" t="str">
        <f t="shared" si="0"/>
        <v/>
      </c>
      <c r="M40" s="4" t="str">
        <f>IF(COUNTA(A40:J40)=0,"",IF(A40="","날짜 미입력",IF(NOT(ISNUMBER(A40)),"날짜 확인(날짜 형식이 아님)",IF(B40="","구분 미입력",IF(D40="","수량 미입력",IF(NOT(ISNUMBER(D40)),"수량 확인(숫자가 아님)",IF(AND(D40&lt;0,B40&lt;&gt;"조정"),"음수 수량(구분으로 방향 표시)",IF(NOT(ISNUMBER(K40)),"단위 확인",IF(AND(OR(B40="입고",B40="기초"),G40=""),"단가 미입력",IF(OR(A40&lt;상품·기준!$C$14,A40&gt;상품·기준!$C$15),"기간 밖",IF(AND(H40&lt;&gt;"아니오",C40&lt;&gt;"",COUNTIFS($C$7:$C$306,C40,$B$7:$B$306,B40,$F$7:$F$306,F40,$H$7:$H$306,"&lt;&gt;아니오")&gt;1),"중복 의심(같은 문서번호·구분·상태)","정상")))))))))))</f>
        <v/>
      </c>
      <c r="N40" s="15" t="str">
        <f t="shared" si="1"/>
        <v/>
      </c>
    </row>
    <row r="41" spans="1:14">
      <c r="A41" s="7"/>
      <c r="B41" s="3"/>
      <c r="C41" s="3"/>
      <c r="D41" s="3"/>
      <c r="E41" s="3"/>
      <c r="F41" s="3"/>
      <c r="G41" s="6"/>
      <c r="H41" s="3"/>
      <c r="I41" s="3"/>
      <c r="J41" s="3"/>
      <c r="K41" s="4" t="str">
        <f>IF(AND(D41="",E41=""),"",IF(E41="",1,IFERROR(INDEX(상품·기준!$C$35:$C$38,MATCH(E41,상품·기준!$A$35:$A$38,0)),"단위 확인")))</f>
        <v/>
      </c>
      <c r="L41" s="4" t="str">
        <f t="shared" si="0"/>
        <v/>
      </c>
      <c r="M41" s="4" t="str">
        <f>IF(COUNTA(A41:J41)=0,"",IF(A41="","날짜 미입력",IF(NOT(ISNUMBER(A41)),"날짜 확인(날짜 형식이 아님)",IF(B41="","구분 미입력",IF(D41="","수량 미입력",IF(NOT(ISNUMBER(D41)),"수량 확인(숫자가 아님)",IF(AND(D41&lt;0,B41&lt;&gt;"조정"),"음수 수량(구분으로 방향 표시)",IF(NOT(ISNUMBER(K41)),"단위 확인",IF(AND(OR(B41="입고",B41="기초"),G41=""),"단가 미입력",IF(OR(A41&lt;상품·기준!$C$14,A41&gt;상품·기준!$C$15),"기간 밖",IF(AND(H41&lt;&gt;"아니오",C41&lt;&gt;"",COUNTIFS($C$7:$C$306,C41,$B$7:$B$306,B41,$F$7:$F$306,F41,$H$7:$H$306,"&lt;&gt;아니오")&gt;1),"중복 의심(같은 문서번호·구분·상태)","정상")))))))))))</f>
        <v/>
      </c>
      <c r="N41" s="15" t="str">
        <f t="shared" si="1"/>
        <v/>
      </c>
    </row>
    <row r="42" spans="1:14">
      <c r="A42" s="7"/>
      <c r="B42" s="3"/>
      <c r="C42" s="3"/>
      <c r="D42" s="3"/>
      <c r="E42" s="3"/>
      <c r="F42" s="3"/>
      <c r="G42" s="6"/>
      <c r="H42" s="3"/>
      <c r="I42" s="3"/>
      <c r="J42" s="3"/>
      <c r="K42" s="4" t="str">
        <f>IF(AND(D42="",E42=""),"",IF(E42="",1,IFERROR(INDEX(상품·기준!$C$35:$C$38,MATCH(E42,상품·기준!$A$35:$A$38,0)),"단위 확인")))</f>
        <v/>
      </c>
      <c r="L42" s="4" t="str">
        <f t="shared" si="0"/>
        <v/>
      </c>
      <c r="M42" s="4" t="str">
        <f>IF(COUNTA(A42:J42)=0,"",IF(A42="","날짜 미입력",IF(NOT(ISNUMBER(A42)),"날짜 확인(날짜 형식이 아님)",IF(B42="","구분 미입력",IF(D42="","수량 미입력",IF(NOT(ISNUMBER(D42)),"수량 확인(숫자가 아님)",IF(AND(D42&lt;0,B42&lt;&gt;"조정"),"음수 수량(구분으로 방향 표시)",IF(NOT(ISNUMBER(K42)),"단위 확인",IF(AND(OR(B42="입고",B42="기초"),G42=""),"단가 미입력",IF(OR(A42&lt;상품·기준!$C$14,A42&gt;상품·기준!$C$15),"기간 밖",IF(AND(H42&lt;&gt;"아니오",C42&lt;&gt;"",COUNTIFS($C$7:$C$306,C42,$B$7:$B$306,B42,$F$7:$F$306,F42,$H$7:$H$306,"&lt;&gt;아니오")&gt;1),"중복 의심(같은 문서번호·구분·상태)","정상")))))))))))</f>
        <v/>
      </c>
      <c r="N42" s="15" t="str">
        <f t="shared" si="1"/>
        <v/>
      </c>
    </row>
    <row r="43" spans="1:14">
      <c r="A43" s="7"/>
      <c r="B43" s="3"/>
      <c r="C43" s="3"/>
      <c r="D43" s="3"/>
      <c r="E43" s="3"/>
      <c r="F43" s="3"/>
      <c r="G43" s="6"/>
      <c r="H43" s="3"/>
      <c r="I43" s="3"/>
      <c r="J43" s="3"/>
      <c r="K43" s="4" t="str">
        <f>IF(AND(D43="",E43=""),"",IF(E43="",1,IFERROR(INDEX(상품·기준!$C$35:$C$38,MATCH(E43,상품·기준!$A$35:$A$38,0)),"단위 확인")))</f>
        <v/>
      </c>
      <c r="L43" s="4" t="str">
        <f t="shared" si="0"/>
        <v/>
      </c>
      <c r="M43" s="4" t="str">
        <f>IF(COUNTA(A43:J43)=0,"",IF(A43="","날짜 미입력",IF(NOT(ISNUMBER(A43)),"날짜 확인(날짜 형식이 아님)",IF(B43="","구분 미입력",IF(D43="","수량 미입력",IF(NOT(ISNUMBER(D43)),"수량 확인(숫자가 아님)",IF(AND(D43&lt;0,B43&lt;&gt;"조정"),"음수 수량(구분으로 방향 표시)",IF(NOT(ISNUMBER(K43)),"단위 확인",IF(AND(OR(B43="입고",B43="기초"),G43=""),"단가 미입력",IF(OR(A43&lt;상품·기준!$C$14,A43&gt;상품·기준!$C$15),"기간 밖",IF(AND(H43&lt;&gt;"아니오",C43&lt;&gt;"",COUNTIFS($C$7:$C$306,C43,$B$7:$B$306,B43,$F$7:$F$306,F43,$H$7:$H$306,"&lt;&gt;아니오")&gt;1),"중복 의심(같은 문서번호·구분·상태)","정상")))))))))))</f>
        <v/>
      </c>
      <c r="N43" s="15" t="str">
        <f t="shared" si="1"/>
        <v/>
      </c>
    </row>
    <row r="44" spans="1:14">
      <c r="A44" s="7"/>
      <c r="B44" s="3"/>
      <c r="C44" s="3"/>
      <c r="D44" s="3"/>
      <c r="E44" s="3"/>
      <c r="F44" s="3"/>
      <c r="G44" s="6"/>
      <c r="H44" s="3"/>
      <c r="I44" s="3"/>
      <c r="J44" s="3"/>
      <c r="K44" s="4" t="str">
        <f>IF(AND(D44="",E44=""),"",IF(E44="",1,IFERROR(INDEX(상품·기준!$C$35:$C$38,MATCH(E44,상품·기준!$A$35:$A$38,0)),"단위 확인")))</f>
        <v/>
      </c>
      <c r="L44" s="4" t="str">
        <f t="shared" si="0"/>
        <v/>
      </c>
      <c r="M44" s="4" t="str">
        <f>IF(COUNTA(A44:J44)=0,"",IF(A44="","날짜 미입력",IF(NOT(ISNUMBER(A44)),"날짜 확인(날짜 형식이 아님)",IF(B44="","구분 미입력",IF(D44="","수량 미입력",IF(NOT(ISNUMBER(D44)),"수량 확인(숫자가 아님)",IF(AND(D44&lt;0,B44&lt;&gt;"조정"),"음수 수량(구분으로 방향 표시)",IF(NOT(ISNUMBER(K44)),"단위 확인",IF(AND(OR(B44="입고",B44="기초"),G44=""),"단가 미입력",IF(OR(A44&lt;상품·기준!$C$14,A44&gt;상품·기준!$C$15),"기간 밖",IF(AND(H44&lt;&gt;"아니오",C44&lt;&gt;"",COUNTIFS($C$7:$C$306,C44,$B$7:$B$306,B44,$F$7:$F$306,F44,$H$7:$H$306,"&lt;&gt;아니오")&gt;1),"중복 의심(같은 문서번호·구분·상태)","정상")))))))))))</f>
        <v/>
      </c>
      <c r="N44" s="15" t="str">
        <f t="shared" si="1"/>
        <v/>
      </c>
    </row>
    <row r="45" spans="1:14">
      <c r="A45" s="7"/>
      <c r="B45" s="3"/>
      <c r="C45" s="3"/>
      <c r="D45" s="3"/>
      <c r="E45" s="3"/>
      <c r="F45" s="3"/>
      <c r="G45" s="6"/>
      <c r="H45" s="3"/>
      <c r="I45" s="3"/>
      <c r="J45" s="3"/>
      <c r="K45" s="4" t="str">
        <f>IF(AND(D45="",E45=""),"",IF(E45="",1,IFERROR(INDEX(상품·기준!$C$35:$C$38,MATCH(E45,상품·기준!$A$35:$A$38,0)),"단위 확인")))</f>
        <v/>
      </c>
      <c r="L45" s="4" t="str">
        <f t="shared" si="0"/>
        <v/>
      </c>
      <c r="M45" s="4" t="str">
        <f>IF(COUNTA(A45:J45)=0,"",IF(A45="","날짜 미입력",IF(NOT(ISNUMBER(A45)),"날짜 확인(날짜 형식이 아님)",IF(B45="","구분 미입력",IF(D45="","수량 미입력",IF(NOT(ISNUMBER(D45)),"수량 확인(숫자가 아님)",IF(AND(D45&lt;0,B45&lt;&gt;"조정"),"음수 수량(구분으로 방향 표시)",IF(NOT(ISNUMBER(K45)),"단위 확인",IF(AND(OR(B45="입고",B45="기초"),G45=""),"단가 미입력",IF(OR(A45&lt;상품·기준!$C$14,A45&gt;상품·기준!$C$15),"기간 밖",IF(AND(H45&lt;&gt;"아니오",C45&lt;&gt;"",COUNTIFS($C$7:$C$306,C45,$B$7:$B$306,B45,$F$7:$F$306,F45,$H$7:$H$306,"&lt;&gt;아니오")&gt;1),"중복 의심(같은 문서번호·구분·상태)","정상")))))))))))</f>
        <v/>
      </c>
      <c r="N45" s="15" t="str">
        <f t="shared" si="1"/>
        <v/>
      </c>
    </row>
    <row r="46" spans="1:14">
      <c r="A46" s="7"/>
      <c r="B46" s="3"/>
      <c r="C46" s="3"/>
      <c r="D46" s="3"/>
      <c r="E46" s="3"/>
      <c r="F46" s="3"/>
      <c r="G46" s="6"/>
      <c r="H46" s="3"/>
      <c r="I46" s="3"/>
      <c r="J46" s="3"/>
      <c r="K46" s="4" t="str">
        <f>IF(AND(D46="",E46=""),"",IF(E46="",1,IFERROR(INDEX(상품·기준!$C$35:$C$38,MATCH(E46,상품·기준!$A$35:$A$38,0)),"단위 확인")))</f>
        <v/>
      </c>
      <c r="L46" s="4" t="str">
        <f t="shared" si="0"/>
        <v/>
      </c>
      <c r="M46" s="4" t="str">
        <f>IF(COUNTA(A46:J46)=0,"",IF(A46="","날짜 미입력",IF(NOT(ISNUMBER(A46)),"날짜 확인(날짜 형식이 아님)",IF(B46="","구분 미입력",IF(D46="","수량 미입력",IF(NOT(ISNUMBER(D46)),"수량 확인(숫자가 아님)",IF(AND(D46&lt;0,B46&lt;&gt;"조정"),"음수 수량(구분으로 방향 표시)",IF(NOT(ISNUMBER(K46)),"단위 확인",IF(AND(OR(B46="입고",B46="기초"),G46=""),"단가 미입력",IF(OR(A46&lt;상품·기준!$C$14,A46&gt;상품·기준!$C$15),"기간 밖",IF(AND(H46&lt;&gt;"아니오",C46&lt;&gt;"",COUNTIFS($C$7:$C$306,C46,$B$7:$B$306,B46,$F$7:$F$306,F46,$H$7:$H$306,"&lt;&gt;아니오")&gt;1),"중복 의심(같은 문서번호·구분·상태)","정상")))))))))))</f>
        <v/>
      </c>
      <c r="N46" s="15" t="str">
        <f t="shared" si="1"/>
        <v/>
      </c>
    </row>
    <row r="47" spans="1:14">
      <c r="A47" s="7"/>
      <c r="B47" s="3"/>
      <c r="C47" s="3"/>
      <c r="D47" s="3"/>
      <c r="E47" s="3"/>
      <c r="F47" s="3"/>
      <c r="G47" s="6"/>
      <c r="H47" s="3"/>
      <c r="I47" s="3"/>
      <c r="J47" s="3"/>
      <c r="K47" s="4" t="str">
        <f>IF(AND(D47="",E47=""),"",IF(E47="",1,IFERROR(INDEX(상품·기준!$C$35:$C$38,MATCH(E47,상품·기준!$A$35:$A$38,0)),"단위 확인")))</f>
        <v/>
      </c>
      <c r="L47" s="4" t="str">
        <f t="shared" si="0"/>
        <v/>
      </c>
      <c r="M47" s="4" t="str">
        <f>IF(COUNTA(A47:J47)=0,"",IF(A47="","날짜 미입력",IF(NOT(ISNUMBER(A47)),"날짜 확인(날짜 형식이 아님)",IF(B47="","구분 미입력",IF(D47="","수량 미입력",IF(NOT(ISNUMBER(D47)),"수량 확인(숫자가 아님)",IF(AND(D47&lt;0,B47&lt;&gt;"조정"),"음수 수량(구분으로 방향 표시)",IF(NOT(ISNUMBER(K47)),"단위 확인",IF(AND(OR(B47="입고",B47="기초"),G47=""),"단가 미입력",IF(OR(A47&lt;상품·기준!$C$14,A47&gt;상품·기준!$C$15),"기간 밖",IF(AND(H47&lt;&gt;"아니오",C47&lt;&gt;"",COUNTIFS($C$7:$C$306,C47,$B$7:$B$306,B47,$F$7:$F$306,F47,$H$7:$H$306,"&lt;&gt;아니오")&gt;1),"중복 의심(같은 문서번호·구분·상태)","정상")))))))))))</f>
        <v/>
      </c>
      <c r="N47" s="15" t="str">
        <f t="shared" si="1"/>
        <v/>
      </c>
    </row>
    <row r="48" spans="1:14">
      <c r="A48" s="7"/>
      <c r="B48" s="3"/>
      <c r="C48" s="3"/>
      <c r="D48" s="3"/>
      <c r="E48" s="3"/>
      <c r="F48" s="3"/>
      <c r="G48" s="6"/>
      <c r="H48" s="3"/>
      <c r="I48" s="3"/>
      <c r="J48" s="3"/>
      <c r="K48" s="4" t="str">
        <f>IF(AND(D48="",E48=""),"",IF(E48="",1,IFERROR(INDEX(상품·기준!$C$35:$C$38,MATCH(E48,상품·기준!$A$35:$A$38,0)),"단위 확인")))</f>
        <v/>
      </c>
      <c r="L48" s="4" t="str">
        <f t="shared" si="0"/>
        <v/>
      </c>
      <c r="M48" s="4" t="str">
        <f>IF(COUNTA(A48:J48)=0,"",IF(A48="","날짜 미입력",IF(NOT(ISNUMBER(A48)),"날짜 확인(날짜 형식이 아님)",IF(B48="","구분 미입력",IF(D48="","수량 미입력",IF(NOT(ISNUMBER(D48)),"수량 확인(숫자가 아님)",IF(AND(D48&lt;0,B48&lt;&gt;"조정"),"음수 수량(구분으로 방향 표시)",IF(NOT(ISNUMBER(K48)),"단위 확인",IF(AND(OR(B48="입고",B48="기초"),G48=""),"단가 미입력",IF(OR(A48&lt;상품·기준!$C$14,A48&gt;상품·기준!$C$15),"기간 밖",IF(AND(H48&lt;&gt;"아니오",C48&lt;&gt;"",COUNTIFS($C$7:$C$306,C48,$B$7:$B$306,B48,$F$7:$F$306,F48,$H$7:$H$306,"&lt;&gt;아니오")&gt;1),"중복 의심(같은 문서번호·구분·상태)","정상")))))))))))</f>
        <v/>
      </c>
      <c r="N48" s="15" t="str">
        <f t="shared" si="1"/>
        <v/>
      </c>
    </row>
    <row r="49" spans="1:14">
      <c r="A49" s="7"/>
      <c r="B49" s="3"/>
      <c r="C49" s="3"/>
      <c r="D49" s="3"/>
      <c r="E49" s="3"/>
      <c r="F49" s="3"/>
      <c r="G49" s="6"/>
      <c r="H49" s="3"/>
      <c r="I49" s="3"/>
      <c r="J49" s="3"/>
      <c r="K49" s="4" t="str">
        <f>IF(AND(D49="",E49=""),"",IF(E49="",1,IFERROR(INDEX(상품·기준!$C$35:$C$38,MATCH(E49,상품·기준!$A$35:$A$38,0)),"단위 확인")))</f>
        <v/>
      </c>
      <c r="L49" s="4" t="str">
        <f t="shared" si="0"/>
        <v/>
      </c>
      <c r="M49" s="4" t="str">
        <f>IF(COUNTA(A49:J49)=0,"",IF(A49="","날짜 미입력",IF(NOT(ISNUMBER(A49)),"날짜 확인(날짜 형식이 아님)",IF(B49="","구분 미입력",IF(D49="","수량 미입력",IF(NOT(ISNUMBER(D49)),"수량 확인(숫자가 아님)",IF(AND(D49&lt;0,B49&lt;&gt;"조정"),"음수 수량(구분으로 방향 표시)",IF(NOT(ISNUMBER(K49)),"단위 확인",IF(AND(OR(B49="입고",B49="기초"),G49=""),"단가 미입력",IF(OR(A49&lt;상품·기준!$C$14,A49&gt;상품·기준!$C$15),"기간 밖",IF(AND(H49&lt;&gt;"아니오",C49&lt;&gt;"",COUNTIFS($C$7:$C$306,C49,$B$7:$B$306,B49,$F$7:$F$306,F49,$H$7:$H$306,"&lt;&gt;아니오")&gt;1),"중복 의심(같은 문서번호·구분·상태)","정상")))))))))))</f>
        <v/>
      </c>
      <c r="N49" s="15" t="str">
        <f t="shared" si="1"/>
        <v/>
      </c>
    </row>
    <row r="50" spans="1:14">
      <c r="A50" s="7"/>
      <c r="B50" s="3"/>
      <c r="C50" s="3"/>
      <c r="D50" s="3"/>
      <c r="E50" s="3"/>
      <c r="F50" s="3"/>
      <c r="G50" s="6"/>
      <c r="H50" s="3"/>
      <c r="I50" s="3"/>
      <c r="J50" s="3"/>
      <c r="K50" s="4" t="str">
        <f>IF(AND(D50="",E50=""),"",IF(E50="",1,IFERROR(INDEX(상품·기준!$C$35:$C$38,MATCH(E50,상품·기준!$A$35:$A$38,0)),"단위 확인")))</f>
        <v/>
      </c>
      <c r="L50" s="4" t="str">
        <f t="shared" si="0"/>
        <v/>
      </c>
      <c r="M50" s="4" t="str">
        <f>IF(COUNTA(A50:J50)=0,"",IF(A50="","날짜 미입력",IF(NOT(ISNUMBER(A50)),"날짜 확인(날짜 형식이 아님)",IF(B50="","구분 미입력",IF(D50="","수량 미입력",IF(NOT(ISNUMBER(D50)),"수량 확인(숫자가 아님)",IF(AND(D50&lt;0,B50&lt;&gt;"조정"),"음수 수량(구분으로 방향 표시)",IF(NOT(ISNUMBER(K50)),"단위 확인",IF(AND(OR(B50="입고",B50="기초"),G50=""),"단가 미입력",IF(OR(A50&lt;상품·기준!$C$14,A50&gt;상품·기준!$C$15),"기간 밖",IF(AND(H50&lt;&gt;"아니오",C50&lt;&gt;"",COUNTIFS($C$7:$C$306,C50,$B$7:$B$306,B50,$F$7:$F$306,F50,$H$7:$H$306,"&lt;&gt;아니오")&gt;1),"중복 의심(같은 문서번호·구분·상태)","정상")))))))))))</f>
        <v/>
      </c>
      <c r="N50" s="15" t="str">
        <f t="shared" si="1"/>
        <v/>
      </c>
    </row>
    <row r="51" spans="1:14">
      <c r="A51" s="7"/>
      <c r="B51" s="3"/>
      <c r="C51" s="3"/>
      <c r="D51" s="3"/>
      <c r="E51" s="3"/>
      <c r="F51" s="3"/>
      <c r="G51" s="6"/>
      <c r="H51" s="3"/>
      <c r="I51" s="3"/>
      <c r="J51" s="3"/>
      <c r="K51" s="4" t="str">
        <f>IF(AND(D51="",E51=""),"",IF(E51="",1,IFERROR(INDEX(상품·기준!$C$35:$C$38,MATCH(E51,상품·기준!$A$35:$A$38,0)),"단위 확인")))</f>
        <v/>
      </c>
      <c r="L51" s="4" t="str">
        <f t="shared" si="0"/>
        <v/>
      </c>
      <c r="M51" s="4" t="str">
        <f>IF(COUNTA(A51:J51)=0,"",IF(A51="","날짜 미입력",IF(NOT(ISNUMBER(A51)),"날짜 확인(날짜 형식이 아님)",IF(B51="","구분 미입력",IF(D51="","수량 미입력",IF(NOT(ISNUMBER(D51)),"수량 확인(숫자가 아님)",IF(AND(D51&lt;0,B51&lt;&gt;"조정"),"음수 수량(구분으로 방향 표시)",IF(NOT(ISNUMBER(K51)),"단위 확인",IF(AND(OR(B51="입고",B51="기초"),G51=""),"단가 미입력",IF(OR(A51&lt;상품·기준!$C$14,A51&gt;상품·기준!$C$15),"기간 밖",IF(AND(H51&lt;&gt;"아니오",C51&lt;&gt;"",COUNTIFS($C$7:$C$306,C51,$B$7:$B$306,B51,$F$7:$F$306,F51,$H$7:$H$306,"&lt;&gt;아니오")&gt;1),"중복 의심(같은 문서번호·구분·상태)","정상")))))))))))</f>
        <v/>
      </c>
      <c r="N51" s="15" t="str">
        <f t="shared" si="1"/>
        <v/>
      </c>
    </row>
    <row r="52" spans="1:14">
      <c r="A52" s="7"/>
      <c r="B52" s="3"/>
      <c r="C52" s="3"/>
      <c r="D52" s="3"/>
      <c r="E52" s="3"/>
      <c r="F52" s="3"/>
      <c r="G52" s="6"/>
      <c r="H52" s="3"/>
      <c r="I52" s="3"/>
      <c r="J52" s="3"/>
      <c r="K52" s="4" t="str">
        <f>IF(AND(D52="",E52=""),"",IF(E52="",1,IFERROR(INDEX(상품·기준!$C$35:$C$38,MATCH(E52,상품·기준!$A$35:$A$38,0)),"단위 확인")))</f>
        <v/>
      </c>
      <c r="L52" s="4" t="str">
        <f t="shared" si="0"/>
        <v/>
      </c>
      <c r="M52" s="4" t="str">
        <f>IF(COUNTA(A52:J52)=0,"",IF(A52="","날짜 미입력",IF(NOT(ISNUMBER(A52)),"날짜 확인(날짜 형식이 아님)",IF(B52="","구분 미입력",IF(D52="","수량 미입력",IF(NOT(ISNUMBER(D52)),"수량 확인(숫자가 아님)",IF(AND(D52&lt;0,B52&lt;&gt;"조정"),"음수 수량(구분으로 방향 표시)",IF(NOT(ISNUMBER(K52)),"단위 확인",IF(AND(OR(B52="입고",B52="기초"),G52=""),"단가 미입력",IF(OR(A52&lt;상품·기준!$C$14,A52&gt;상품·기준!$C$15),"기간 밖",IF(AND(H52&lt;&gt;"아니오",C52&lt;&gt;"",COUNTIFS($C$7:$C$306,C52,$B$7:$B$306,B52,$F$7:$F$306,F52,$H$7:$H$306,"&lt;&gt;아니오")&gt;1),"중복 의심(같은 문서번호·구분·상태)","정상")))))))))))</f>
        <v/>
      </c>
      <c r="N52" s="15" t="str">
        <f t="shared" si="1"/>
        <v/>
      </c>
    </row>
    <row r="53" spans="1:14">
      <c r="A53" s="7"/>
      <c r="B53" s="3"/>
      <c r="C53" s="3"/>
      <c r="D53" s="3"/>
      <c r="E53" s="3"/>
      <c r="F53" s="3"/>
      <c r="G53" s="6"/>
      <c r="H53" s="3"/>
      <c r="I53" s="3"/>
      <c r="J53" s="3"/>
      <c r="K53" s="4" t="str">
        <f>IF(AND(D53="",E53=""),"",IF(E53="",1,IFERROR(INDEX(상품·기준!$C$35:$C$38,MATCH(E53,상품·기준!$A$35:$A$38,0)),"단위 확인")))</f>
        <v/>
      </c>
      <c r="L53" s="4" t="str">
        <f t="shared" si="0"/>
        <v/>
      </c>
      <c r="M53" s="4" t="str">
        <f>IF(COUNTA(A53:J53)=0,"",IF(A53="","날짜 미입력",IF(NOT(ISNUMBER(A53)),"날짜 확인(날짜 형식이 아님)",IF(B53="","구분 미입력",IF(D53="","수량 미입력",IF(NOT(ISNUMBER(D53)),"수량 확인(숫자가 아님)",IF(AND(D53&lt;0,B53&lt;&gt;"조정"),"음수 수량(구분으로 방향 표시)",IF(NOT(ISNUMBER(K53)),"단위 확인",IF(AND(OR(B53="입고",B53="기초"),G53=""),"단가 미입력",IF(OR(A53&lt;상품·기준!$C$14,A53&gt;상품·기준!$C$15),"기간 밖",IF(AND(H53&lt;&gt;"아니오",C53&lt;&gt;"",COUNTIFS($C$7:$C$306,C53,$B$7:$B$306,B53,$F$7:$F$306,F53,$H$7:$H$306,"&lt;&gt;아니오")&gt;1),"중복 의심(같은 문서번호·구분·상태)","정상")))))))))))</f>
        <v/>
      </c>
      <c r="N53" s="15" t="str">
        <f t="shared" si="1"/>
        <v/>
      </c>
    </row>
    <row r="54" spans="1:14">
      <c r="A54" s="7"/>
      <c r="B54" s="3"/>
      <c r="C54" s="3"/>
      <c r="D54" s="3"/>
      <c r="E54" s="3"/>
      <c r="F54" s="3"/>
      <c r="G54" s="6"/>
      <c r="H54" s="3"/>
      <c r="I54" s="3"/>
      <c r="J54" s="3"/>
      <c r="K54" s="4" t="str">
        <f>IF(AND(D54="",E54=""),"",IF(E54="",1,IFERROR(INDEX(상품·기준!$C$35:$C$38,MATCH(E54,상품·기준!$A$35:$A$38,0)),"단위 확인")))</f>
        <v/>
      </c>
      <c r="L54" s="4" t="str">
        <f t="shared" si="0"/>
        <v/>
      </c>
      <c r="M54" s="4" t="str">
        <f>IF(COUNTA(A54:J54)=0,"",IF(A54="","날짜 미입력",IF(NOT(ISNUMBER(A54)),"날짜 확인(날짜 형식이 아님)",IF(B54="","구분 미입력",IF(D54="","수량 미입력",IF(NOT(ISNUMBER(D54)),"수량 확인(숫자가 아님)",IF(AND(D54&lt;0,B54&lt;&gt;"조정"),"음수 수량(구분으로 방향 표시)",IF(NOT(ISNUMBER(K54)),"단위 확인",IF(AND(OR(B54="입고",B54="기초"),G54=""),"단가 미입력",IF(OR(A54&lt;상품·기준!$C$14,A54&gt;상품·기준!$C$15),"기간 밖",IF(AND(H54&lt;&gt;"아니오",C54&lt;&gt;"",COUNTIFS($C$7:$C$306,C54,$B$7:$B$306,B54,$F$7:$F$306,F54,$H$7:$H$306,"&lt;&gt;아니오")&gt;1),"중복 의심(같은 문서번호·구분·상태)","정상")))))))))))</f>
        <v/>
      </c>
      <c r="N54" s="15" t="str">
        <f t="shared" si="1"/>
        <v/>
      </c>
    </row>
    <row r="55" spans="1:14">
      <c r="A55" s="7"/>
      <c r="B55" s="3"/>
      <c r="C55" s="3"/>
      <c r="D55" s="3"/>
      <c r="E55" s="3"/>
      <c r="F55" s="3"/>
      <c r="G55" s="6"/>
      <c r="H55" s="3"/>
      <c r="I55" s="3"/>
      <c r="J55" s="3"/>
      <c r="K55" s="4" t="str">
        <f>IF(AND(D55="",E55=""),"",IF(E55="",1,IFERROR(INDEX(상품·기준!$C$35:$C$38,MATCH(E55,상품·기준!$A$35:$A$38,0)),"단위 확인")))</f>
        <v/>
      </c>
      <c r="L55" s="4" t="str">
        <f t="shared" si="0"/>
        <v/>
      </c>
      <c r="M55" s="4" t="str">
        <f>IF(COUNTA(A55:J55)=0,"",IF(A55="","날짜 미입력",IF(NOT(ISNUMBER(A55)),"날짜 확인(날짜 형식이 아님)",IF(B55="","구분 미입력",IF(D55="","수량 미입력",IF(NOT(ISNUMBER(D55)),"수량 확인(숫자가 아님)",IF(AND(D55&lt;0,B55&lt;&gt;"조정"),"음수 수량(구분으로 방향 표시)",IF(NOT(ISNUMBER(K55)),"단위 확인",IF(AND(OR(B55="입고",B55="기초"),G55=""),"단가 미입력",IF(OR(A55&lt;상품·기준!$C$14,A55&gt;상품·기준!$C$15),"기간 밖",IF(AND(H55&lt;&gt;"아니오",C55&lt;&gt;"",COUNTIFS($C$7:$C$306,C55,$B$7:$B$306,B55,$F$7:$F$306,F55,$H$7:$H$306,"&lt;&gt;아니오")&gt;1),"중복 의심(같은 문서번호·구분·상태)","정상")))))))))))</f>
        <v/>
      </c>
      <c r="N55" s="15" t="str">
        <f t="shared" si="1"/>
        <v/>
      </c>
    </row>
    <row r="56" spans="1:14">
      <c r="A56" s="7"/>
      <c r="B56" s="3"/>
      <c r="C56" s="3"/>
      <c r="D56" s="3"/>
      <c r="E56" s="3"/>
      <c r="F56" s="3"/>
      <c r="G56" s="6"/>
      <c r="H56" s="3"/>
      <c r="I56" s="3"/>
      <c r="J56" s="3"/>
      <c r="K56" s="4" t="str">
        <f>IF(AND(D56="",E56=""),"",IF(E56="",1,IFERROR(INDEX(상품·기준!$C$35:$C$38,MATCH(E56,상품·기준!$A$35:$A$38,0)),"단위 확인")))</f>
        <v/>
      </c>
      <c r="L56" s="4" t="str">
        <f t="shared" si="0"/>
        <v/>
      </c>
      <c r="M56" s="4" t="str">
        <f>IF(COUNTA(A56:J56)=0,"",IF(A56="","날짜 미입력",IF(NOT(ISNUMBER(A56)),"날짜 확인(날짜 형식이 아님)",IF(B56="","구분 미입력",IF(D56="","수량 미입력",IF(NOT(ISNUMBER(D56)),"수량 확인(숫자가 아님)",IF(AND(D56&lt;0,B56&lt;&gt;"조정"),"음수 수량(구분으로 방향 표시)",IF(NOT(ISNUMBER(K56)),"단위 확인",IF(AND(OR(B56="입고",B56="기초"),G56=""),"단가 미입력",IF(OR(A56&lt;상품·기준!$C$14,A56&gt;상품·기준!$C$15),"기간 밖",IF(AND(H56&lt;&gt;"아니오",C56&lt;&gt;"",COUNTIFS($C$7:$C$306,C56,$B$7:$B$306,B56,$F$7:$F$306,F56,$H$7:$H$306,"&lt;&gt;아니오")&gt;1),"중복 의심(같은 문서번호·구분·상태)","정상")))))))))))</f>
        <v/>
      </c>
      <c r="N56" s="15" t="str">
        <f t="shared" si="1"/>
        <v/>
      </c>
    </row>
    <row r="57" spans="1:14">
      <c r="A57" s="7"/>
      <c r="B57" s="3"/>
      <c r="C57" s="3"/>
      <c r="D57" s="3"/>
      <c r="E57" s="3"/>
      <c r="F57" s="3"/>
      <c r="G57" s="6"/>
      <c r="H57" s="3"/>
      <c r="I57" s="3"/>
      <c r="J57" s="3"/>
      <c r="K57" s="4" t="str">
        <f>IF(AND(D57="",E57=""),"",IF(E57="",1,IFERROR(INDEX(상품·기준!$C$35:$C$38,MATCH(E57,상품·기준!$A$35:$A$38,0)),"단위 확인")))</f>
        <v/>
      </c>
      <c r="L57" s="4" t="str">
        <f t="shared" si="0"/>
        <v/>
      </c>
      <c r="M57" s="4" t="str">
        <f>IF(COUNTA(A57:J57)=0,"",IF(A57="","날짜 미입력",IF(NOT(ISNUMBER(A57)),"날짜 확인(날짜 형식이 아님)",IF(B57="","구분 미입력",IF(D57="","수량 미입력",IF(NOT(ISNUMBER(D57)),"수량 확인(숫자가 아님)",IF(AND(D57&lt;0,B57&lt;&gt;"조정"),"음수 수량(구분으로 방향 표시)",IF(NOT(ISNUMBER(K57)),"단위 확인",IF(AND(OR(B57="입고",B57="기초"),G57=""),"단가 미입력",IF(OR(A57&lt;상품·기준!$C$14,A57&gt;상품·기준!$C$15),"기간 밖",IF(AND(H57&lt;&gt;"아니오",C57&lt;&gt;"",COUNTIFS($C$7:$C$306,C57,$B$7:$B$306,B57,$F$7:$F$306,F57,$H$7:$H$306,"&lt;&gt;아니오")&gt;1),"중복 의심(같은 문서번호·구분·상태)","정상")))))))))))</f>
        <v/>
      </c>
      <c r="N57" s="15" t="str">
        <f t="shared" si="1"/>
        <v/>
      </c>
    </row>
    <row r="58" spans="1:14">
      <c r="A58" s="7"/>
      <c r="B58" s="3"/>
      <c r="C58" s="3"/>
      <c r="D58" s="3"/>
      <c r="E58" s="3"/>
      <c r="F58" s="3"/>
      <c r="G58" s="6"/>
      <c r="H58" s="3"/>
      <c r="I58" s="3"/>
      <c r="J58" s="3"/>
      <c r="K58" s="4" t="str">
        <f>IF(AND(D58="",E58=""),"",IF(E58="",1,IFERROR(INDEX(상품·기준!$C$35:$C$38,MATCH(E58,상품·기준!$A$35:$A$38,0)),"단위 확인")))</f>
        <v/>
      </c>
      <c r="L58" s="4" t="str">
        <f t="shared" si="0"/>
        <v/>
      </c>
      <c r="M58" s="4" t="str">
        <f>IF(COUNTA(A58:J58)=0,"",IF(A58="","날짜 미입력",IF(NOT(ISNUMBER(A58)),"날짜 확인(날짜 형식이 아님)",IF(B58="","구분 미입력",IF(D58="","수량 미입력",IF(NOT(ISNUMBER(D58)),"수량 확인(숫자가 아님)",IF(AND(D58&lt;0,B58&lt;&gt;"조정"),"음수 수량(구분으로 방향 표시)",IF(NOT(ISNUMBER(K58)),"단위 확인",IF(AND(OR(B58="입고",B58="기초"),G58=""),"단가 미입력",IF(OR(A58&lt;상품·기준!$C$14,A58&gt;상품·기준!$C$15),"기간 밖",IF(AND(H58&lt;&gt;"아니오",C58&lt;&gt;"",COUNTIFS($C$7:$C$306,C58,$B$7:$B$306,B58,$F$7:$F$306,F58,$H$7:$H$306,"&lt;&gt;아니오")&gt;1),"중복 의심(같은 문서번호·구분·상태)","정상")))))))))))</f>
        <v/>
      </c>
      <c r="N58" s="15" t="str">
        <f t="shared" si="1"/>
        <v/>
      </c>
    </row>
    <row r="59" spans="1:14">
      <c r="A59" s="7"/>
      <c r="B59" s="3"/>
      <c r="C59" s="3"/>
      <c r="D59" s="3"/>
      <c r="E59" s="3"/>
      <c r="F59" s="3"/>
      <c r="G59" s="6"/>
      <c r="H59" s="3"/>
      <c r="I59" s="3"/>
      <c r="J59" s="3"/>
      <c r="K59" s="4" t="str">
        <f>IF(AND(D59="",E59=""),"",IF(E59="",1,IFERROR(INDEX(상품·기준!$C$35:$C$38,MATCH(E59,상품·기준!$A$35:$A$38,0)),"단위 확인")))</f>
        <v/>
      </c>
      <c r="L59" s="4" t="str">
        <f t="shared" si="0"/>
        <v/>
      </c>
      <c r="M59" s="4" t="str">
        <f>IF(COUNTA(A59:J59)=0,"",IF(A59="","날짜 미입력",IF(NOT(ISNUMBER(A59)),"날짜 확인(날짜 형식이 아님)",IF(B59="","구분 미입력",IF(D59="","수량 미입력",IF(NOT(ISNUMBER(D59)),"수량 확인(숫자가 아님)",IF(AND(D59&lt;0,B59&lt;&gt;"조정"),"음수 수량(구분으로 방향 표시)",IF(NOT(ISNUMBER(K59)),"단위 확인",IF(AND(OR(B59="입고",B59="기초"),G59=""),"단가 미입력",IF(OR(A59&lt;상품·기준!$C$14,A59&gt;상품·기준!$C$15),"기간 밖",IF(AND(H59&lt;&gt;"아니오",C59&lt;&gt;"",COUNTIFS($C$7:$C$306,C59,$B$7:$B$306,B59,$F$7:$F$306,F59,$H$7:$H$306,"&lt;&gt;아니오")&gt;1),"중복 의심(같은 문서번호·구분·상태)","정상")))))))))))</f>
        <v/>
      </c>
      <c r="N59" s="15" t="str">
        <f t="shared" si="1"/>
        <v/>
      </c>
    </row>
    <row r="60" spans="1:14">
      <c r="A60" s="7"/>
      <c r="B60" s="3"/>
      <c r="C60" s="3"/>
      <c r="D60" s="3"/>
      <c r="E60" s="3"/>
      <c r="F60" s="3"/>
      <c r="G60" s="6"/>
      <c r="H60" s="3"/>
      <c r="I60" s="3"/>
      <c r="J60" s="3"/>
      <c r="K60" s="4" t="str">
        <f>IF(AND(D60="",E60=""),"",IF(E60="",1,IFERROR(INDEX(상품·기준!$C$35:$C$38,MATCH(E60,상품·기준!$A$35:$A$38,0)),"단위 확인")))</f>
        <v/>
      </c>
      <c r="L60" s="4" t="str">
        <f t="shared" si="0"/>
        <v/>
      </c>
      <c r="M60" s="4" t="str">
        <f>IF(COUNTA(A60:J60)=0,"",IF(A60="","날짜 미입력",IF(NOT(ISNUMBER(A60)),"날짜 확인(날짜 형식이 아님)",IF(B60="","구분 미입력",IF(D60="","수량 미입력",IF(NOT(ISNUMBER(D60)),"수량 확인(숫자가 아님)",IF(AND(D60&lt;0,B60&lt;&gt;"조정"),"음수 수량(구분으로 방향 표시)",IF(NOT(ISNUMBER(K60)),"단위 확인",IF(AND(OR(B60="입고",B60="기초"),G60=""),"단가 미입력",IF(OR(A60&lt;상품·기준!$C$14,A60&gt;상품·기준!$C$15),"기간 밖",IF(AND(H60&lt;&gt;"아니오",C60&lt;&gt;"",COUNTIFS($C$7:$C$306,C60,$B$7:$B$306,B60,$F$7:$F$306,F60,$H$7:$H$306,"&lt;&gt;아니오")&gt;1),"중복 의심(같은 문서번호·구분·상태)","정상")))))))))))</f>
        <v/>
      </c>
      <c r="N60" s="15" t="str">
        <f t="shared" si="1"/>
        <v/>
      </c>
    </row>
    <row r="61" spans="1:14">
      <c r="A61" s="7"/>
      <c r="B61" s="3"/>
      <c r="C61" s="3"/>
      <c r="D61" s="3"/>
      <c r="E61" s="3"/>
      <c r="F61" s="3"/>
      <c r="G61" s="6"/>
      <c r="H61" s="3"/>
      <c r="I61" s="3"/>
      <c r="J61" s="3"/>
      <c r="K61" s="4" t="str">
        <f>IF(AND(D61="",E61=""),"",IF(E61="",1,IFERROR(INDEX(상품·기준!$C$35:$C$38,MATCH(E61,상품·기준!$A$35:$A$38,0)),"단위 확인")))</f>
        <v/>
      </c>
      <c r="L61" s="4" t="str">
        <f t="shared" si="0"/>
        <v/>
      </c>
      <c r="M61" s="4" t="str">
        <f>IF(COUNTA(A61:J61)=0,"",IF(A61="","날짜 미입력",IF(NOT(ISNUMBER(A61)),"날짜 확인(날짜 형식이 아님)",IF(B61="","구분 미입력",IF(D61="","수량 미입력",IF(NOT(ISNUMBER(D61)),"수량 확인(숫자가 아님)",IF(AND(D61&lt;0,B61&lt;&gt;"조정"),"음수 수량(구분으로 방향 표시)",IF(NOT(ISNUMBER(K61)),"단위 확인",IF(AND(OR(B61="입고",B61="기초"),G61=""),"단가 미입력",IF(OR(A61&lt;상품·기준!$C$14,A61&gt;상품·기준!$C$15),"기간 밖",IF(AND(H61&lt;&gt;"아니오",C61&lt;&gt;"",COUNTIFS($C$7:$C$306,C61,$B$7:$B$306,B61,$F$7:$F$306,F61,$H$7:$H$306,"&lt;&gt;아니오")&gt;1),"중복 의심(같은 문서번호·구분·상태)","정상")))))))))))</f>
        <v/>
      </c>
      <c r="N61" s="15" t="str">
        <f t="shared" si="1"/>
        <v/>
      </c>
    </row>
    <row r="62" spans="1:14">
      <c r="A62" s="7"/>
      <c r="B62" s="3"/>
      <c r="C62" s="3"/>
      <c r="D62" s="3"/>
      <c r="E62" s="3"/>
      <c r="F62" s="3"/>
      <c r="G62" s="6"/>
      <c r="H62" s="3"/>
      <c r="I62" s="3"/>
      <c r="J62" s="3"/>
      <c r="K62" s="4" t="str">
        <f>IF(AND(D62="",E62=""),"",IF(E62="",1,IFERROR(INDEX(상품·기준!$C$35:$C$38,MATCH(E62,상품·기준!$A$35:$A$38,0)),"단위 확인")))</f>
        <v/>
      </c>
      <c r="L62" s="4" t="str">
        <f t="shared" si="0"/>
        <v/>
      </c>
      <c r="M62" s="4" t="str">
        <f>IF(COUNTA(A62:J62)=0,"",IF(A62="","날짜 미입력",IF(NOT(ISNUMBER(A62)),"날짜 확인(날짜 형식이 아님)",IF(B62="","구분 미입력",IF(D62="","수량 미입력",IF(NOT(ISNUMBER(D62)),"수량 확인(숫자가 아님)",IF(AND(D62&lt;0,B62&lt;&gt;"조정"),"음수 수량(구분으로 방향 표시)",IF(NOT(ISNUMBER(K62)),"단위 확인",IF(AND(OR(B62="입고",B62="기초"),G62=""),"단가 미입력",IF(OR(A62&lt;상품·기준!$C$14,A62&gt;상품·기준!$C$15),"기간 밖",IF(AND(H62&lt;&gt;"아니오",C62&lt;&gt;"",COUNTIFS($C$7:$C$306,C62,$B$7:$B$306,B62,$F$7:$F$306,F62,$H$7:$H$306,"&lt;&gt;아니오")&gt;1),"중복 의심(같은 문서번호·구분·상태)","정상")))))))))))</f>
        <v/>
      </c>
      <c r="N62" s="15" t="str">
        <f t="shared" si="1"/>
        <v/>
      </c>
    </row>
    <row r="63" spans="1:14">
      <c r="A63" s="7"/>
      <c r="B63" s="3"/>
      <c r="C63" s="3"/>
      <c r="D63" s="3"/>
      <c r="E63" s="3"/>
      <c r="F63" s="3"/>
      <c r="G63" s="6"/>
      <c r="H63" s="3"/>
      <c r="I63" s="3"/>
      <c r="J63" s="3"/>
      <c r="K63" s="4" t="str">
        <f>IF(AND(D63="",E63=""),"",IF(E63="",1,IFERROR(INDEX(상품·기준!$C$35:$C$38,MATCH(E63,상품·기준!$A$35:$A$38,0)),"단위 확인")))</f>
        <v/>
      </c>
      <c r="L63" s="4" t="str">
        <f t="shared" si="0"/>
        <v/>
      </c>
      <c r="M63" s="4" t="str">
        <f>IF(COUNTA(A63:J63)=0,"",IF(A63="","날짜 미입력",IF(NOT(ISNUMBER(A63)),"날짜 확인(날짜 형식이 아님)",IF(B63="","구분 미입력",IF(D63="","수량 미입력",IF(NOT(ISNUMBER(D63)),"수량 확인(숫자가 아님)",IF(AND(D63&lt;0,B63&lt;&gt;"조정"),"음수 수량(구분으로 방향 표시)",IF(NOT(ISNUMBER(K63)),"단위 확인",IF(AND(OR(B63="입고",B63="기초"),G63=""),"단가 미입력",IF(OR(A63&lt;상품·기준!$C$14,A63&gt;상품·기준!$C$15),"기간 밖",IF(AND(H63&lt;&gt;"아니오",C63&lt;&gt;"",COUNTIFS($C$7:$C$306,C63,$B$7:$B$306,B63,$F$7:$F$306,F63,$H$7:$H$306,"&lt;&gt;아니오")&gt;1),"중복 의심(같은 문서번호·구분·상태)","정상")))))))))))</f>
        <v/>
      </c>
      <c r="N63" s="15" t="str">
        <f t="shared" si="1"/>
        <v/>
      </c>
    </row>
    <row r="64" spans="1:14">
      <c r="A64" s="7"/>
      <c r="B64" s="3"/>
      <c r="C64" s="3"/>
      <c r="D64" s="3"/>
      <c r="E64" s="3"/>
      <c r="F64" s="3"/>
      <c r="G64" s="6"/>
      <c r="H64" s="3"/>
      <c r="I64" s="3"/>
      <c r="J64" s="3"/>
      <c r="K64" s="4" t="str">
        <f>IF(AND(D64="",E64=""),"",IF(E64="",1,IFERROR(INDEX(상품·기준!$C$35:$C$38,MATCH(E64,상품·기준!$A$35:$A$38,0)),"단위 확인")))</f>
        <v/>
      </c>
      <c r="L64" s="4" t="str">
        <f t="shared" si="0"/>
        <v/>
      </c>
      <c r="M64" s="4" t="str">
        <f>IF(COUNTA(A64:J64)=0,"",IF(A64="","날짜 미입력",IF(NOT(ISNUMBER(A64)),"날짜 확인(날짜 형식이 아님)",IF(B64="","구분 미입력",IF(D64="","수량 미입력",IF(NOT(ISNUMBER(D64)),"수량 확인(숫자가 아님)",IF(AND(D64&lt;0,B64&lt;&gt;"조정"),"음수 수량(구분으로 방향 표시)",IF(NOT(ISNUMBER(K64)),"단위 확인",IF(AND(OR(B64="입고",B64="기초"),G64=""),"단가 미입력",IF(OR(A64&lt;상품·기준!$C$14,A64&gt;상품·기준!$C$15),"기간 밖",IF(AND(H64&lt;&gt;"아니오",C64&lt;&gt;"",COUNTIFS($C$7:$C$306,C64,$B$7:$B$306,B64,$F$7:$F$306,F64,$H$7:$H$306,"&lt;&gt;아니오")&gt;1),"중복 의심(같은 문서번호·구분·상태)","정상")))))))))))</f>
        <v/>
      </c>
      <c r="N64" s="15" t="str">
        <f t="shared" si="1"/>
        <v/>
      </c>
    </row>
    <row r="65" spans="1:14">
      <c r="A65" s="7"/>
      <c r="B65" s="3"/>
      <c r="C65" s="3"/>
      <c r="D65" s="3"/>
      <c r="E65" s="3"/>
      <c r="F65" s="3"/>
      <c r="G65" s="6"/>
      <c r="H65" s="3"/>
      <c r="I65" s="3"/>
      <c r="J65" s="3"/>
      <c r="K65" s="4" t="str">
        <f>IF(AND(D65="",E65=""),"",IF(E65="",1,IFERROR(INDEX(상품·기준!$C$35:$C$38,MATCH(E65,상품·기준!$A$35:$A$38,0)),"단위 확인")))</f>
        <v/>
      </c>
      <c r="L65" s="4" t="str">
        <f t="shared" si="0"/>
        <v/>
      </c>
      <c r="M65" s="4" t="str">
        <f>IF(COUNTA(A65:J65)=0,"",IF(A65="","날짜 미입력",IF(NOT(ISNUMBER(A65)),"날짜 확인(날짜 형식이 아님)",IF(B65="","구분 미입력",IF(D65="","수량 미입력",IF(NOT(ISNUMBER(D65)),"수량 확인(숫자가 아님)",IF(AND(D65&lt;0,B65&lt;&gt;"조정"),"음수 수량(구분으로 방향 표시)",IF(NOT(ISNUMBER(K65)),"단위 확인",IF(AND(OR(B65="입고",B65="기초"),G65=""),"단가 미입력",IF(OR(A65&lt;상품·기준!$C$14,A65&gt;상품·기준!$C$15),"기간 밖",IF(AND(H65&lt;&gt;"아니오",C65&lt;&gt;"",COUNTIFS($C$7:$C$306,C65,$B$7:$B$306,B65,$F$7:$F$306,F65,$H$7:$H$306,"&lt;&gt;아니오")&gt;1),"중복 의심(같은 문서번호·구분·상태)","정상")))))))))))</f>
        <v/>
      </c>
      <c r="N65" s="15" t="str">
        <f t="shared" si="1"/>
        <v/>
      </c>
    </row>
    <row r="66" spans="1:14">
      <c r="A66" s="7"/>
      <c r="B66" s="3"/>
      <c r="C66" s="3"/>
      <c r="D66" s="3"/>
      <c r="E66" s="3"/>
      <c r="F66" s="3"/>
      <c r="G66" s="6"/>
      <c r="H66" s="3"/>
      <c r="I66" s="3"/>
      <c r="J66" s="3"/>
      <c r="K66" s="4" t="str">
        <f>IF(AND(D66="",E66=""),"",IF(E66="",1,IFERROR(INDEX(상품·기준!$C$35:$C$38,MATCH(E66,상품·기준!$A$35:$A$38,0)),"단위 확인")))</f>
        <v/>
      </c>
      <c r="L66" s="4" t="str">
        <f t="shared" si="0"/>
        <v/>
      </c>
      <c r="M66" s="4" t="str">
        <f>IF(COUNTA(A66:J66)=0,"",IF(A66="","날짜 미입력",IF(NOT(ISNUMBER(A66)),"날짜 확인(날짜 형식이 아님)",IF(B66="","구분 미입력",IF(D66="","수량 미입력",IF(NOT(ISNUMBER(D66)),"수량 확인(숫자가 아님)",IF(AND(D66&lt;0,B66&lt;&gt;"조정"),"음수 수량(구분으로 방향 표시)",IF(NOT(ISNUMBER(K66)),"단위 확인",IF(AND(OR(B66="입고",B66="기초"),G66=""),"단가 미입력",IF(OR(A66&lt;상품·기준!$C$14,A66&gt;상품·기준!$C$15),"기간 밖",IF(AND(H66&lt;&gt;"아니오",C66&lt;&gt;"",COUNTIFS($C$7:$C$306,C66,$B$7:$B$306,B66,$F$7:$F$306,F66,$H$7:$H$306,"&lt;&gt;아니오")&gt;1),"중복 의심(같은 문서번호·구분·상태)","정상")))))))))))</f>
        <v/>
      </c>
      <c r="N66" s="15" t="str">
        <f t="shared" si="1"/>
        <v/>
      </c>
    </row>
    <row r="67" spans="1:14">
      <c r="A67" s="7"/>
      <c r="B67" s="3"/>
      <c r="C67" s="3"/>
      <c r="D67" s="3"/>
      <c r="E67" s="3"/>
      <c r="F67" s="3"/>
      <c r="G67" s="6"/>
      <c r="H67" s="3"/>
      <c r="I67" s="3"/>
      <c r="J67" s="3"/>
      <c r="K67" s="4" t="str">
        <f>IF(AND(D67="",E67=""),"",IF(E67="",1,IFERROR(INDEX(상품·기준!$C$35:$C$38,MATCH(E67,상품·기준!$A$35:$A$38,0)),"단위 확인")))</f>
        <v/>
      </c>
      <c r="L67" s="4" t="str">
        <f t="shared" si="0"/>
        <v/>
      </c>
      <c r="M67" s="4" t="str">
        <f>IF(COUNTA(A67:J67)=0,"",IF(A67="","날짜 미입력",IF(NOT(ISNUMBER(A67)),"날짜 확인(날짜 형식이 아님)",IF(B67="","구분 미입력",IF(D67="","수량 미입력",IF(NOT(ISNUMBER(D67)),"수량 확인(숫자가 아님)",IF(AND(D67&lt;0,B67&lt;&gt;"조정"),"음수 수량(구분으로 방향 표시)",IF(NOT(ISNUMBER(K67)),"단위 확인",IF(AND(OR(B67="입고",B67="기초"),G67=""),"단가 미입력",IF(OR(A67&lt;상품·기준!$C$14,A67&gt;상품·기준!$C$15),"기간 밖",IF(AND(H67&lt;&gt;"아니오",C67&lt;&gt;"",COUNTIFS($C$7:$C$306,C67,$B$7:$B$306,B67,$F$7:$F$306,F67,$H$7:$H$306,"&lt;&gt;아니오")&gt;1),"중복 의심(같은 문서번호·구분·상태)","정상")))))))))))</f>
        <v/>
      </c>
      <c r="N67" s="15" t="str">
        <f t="shared" si="1"/>
        <v/>
      </c>
    </row>
    <row r="68" spans="1:14">
      <c r="A68" s="7"/>
      <c r="B68" s="3"/>
      <c r="C68" s="3"/>
      <c r="D68" s="3"/>
      <c r="E68" s="3"/>
      <c r="F68" s="3"/>
      <c r="G68" s="6"/>
      <c r="H68" s="3"/>
      <c r="I68" s="3"/>
      <c r="J68" s="3"/>
      <c r="K68" s="4" t="str">
        <f>IF(AND(D68="",E68=""),"",IF(E68="",1,IFERROR(INDEX(상품·기준!$C$35:$C$38,MATCH(E68,상품·기준!$A$35:$A$38,0)),"단위 확인")))</f>
        <v/>
      </c>
      <c r="L68" s="4" t="str">
        <f t="shared" si="0"/>
        <v/>
      </c>
      <c r="M68" s="4" t="str">
        <f>IF(COUNTA(A68:J68)=0,"",IF(A68="","날짜 미입력",IF(NOT(ISNUMBER(A68)),"날짜 확인(날짜 형식이 아님)",IF(B68="","구분 미입력",IF(D68="","수량 미입력",IF(NOT(ISNUMBER(D68)),"수량 확인(숫자가 아님)",IF(AND(D68&lt;0,B68&lt;&gt;"조정"),"음수 수량(구분으로 방향 표시)",IF(NOT(ISNUMBER(K68)),"단위 확인",IF(AND(OR(B68="입고",B68="기초"),G68=""),"단가 미입력",IF(OR(A68&lt;상품·기준!$C$14,A68&gt;상품·기준!$C$15),"기간 밖",IF(AND(H68&lt;&gt;"아니오",C68&lt;&gt;"",COUNTIFS($C$7:$C$306,C68,$B$7:$B$306,B68,$F$7:$F$306,F68,$H$7:$H$306,"&lt;&gt;아니오")&gt;1),"중복 의심(같은 문서번호·구분·상태)","정상")))))))))))</f>
        <v/>
      </c>
      <c r="N68" s="15" t="str">
        <f t="shared" si="1"/>
        <v/>
      </c>
    </row>
    <row r="69" spans="1:14">
      <c r="A69" s="7"/>
      <c r="B69" s="3"/>
      <c r="C69" s="3"/>
      <c r="D69" s="3"/>
      <c r="E69" s="3"/>
      <c r="F69" s="3"/>
      <c r="G69" s="6"/>
      <c r="H69" s="3"/>
      <c r="I69" s="3"/>
      <c r="J69" s="3"/>
      <c r="K69" s="4" t="str">
        <f>IF(AND(D69="",E69=""),"",IF(E69="",1,IFERROR(INDEX(상품·기준!$C$35:$C$38,MATCH(E69,상품·기준!$A$35:$A$38,0)),"단위 확인")))</f>
        <v/>
      </c>
      <c r="L69" s="4" t="str">
        <f t="shared" si="0"/>
        <v/>
      </c>
      <c r="M69" s="4" t="str">
        <f>IF(COUNTA(A69:J69)=0,"",IF(A69="","날짜 미입력",IF(NOT(ISNUMBER(A69)),"날짜 확인(날짜 형식이 아님)",IF(B69="","구분 미입력",IF(D69="","수량 미입력",IF(NOT(ISNUMBER(D69)),"수량 확인(숫자가 아님)",IF(AND(D69&lt;0,B69&lt;&gt;"조정"),"음수 수량(구분으로 방향 표시)",IF(NOT(ISNUMBER(K69)),"단위 확인",IF(AND(OR(B69="입고",B69="기초"),G69=""),"단가 미입력",IF(OR(A69&lt;상품·기준!$C$14,A69&gt;상품·기준!$C$15),"기간 밖",IF(AND(H69&lt;&gt;"아니오",C69&lt;&gt;"",COUNTIFS($C$7:$C$306,C69,$B$7:$B$306,B69,$F$7:$F$306,F69,$H$7:$H$306,"&lt;&gt;아니오")&gt;1),"중복 의심(같은 문서번호·구분·상태)","정상")))))))))))</f>
        <v/>
      </c>
      <c r="N69" s="15" t="str">
        <f t="shared" si="1"/>
        <v/>
      </c>
    </row>
    <row r="70" spans="1:14">
      <c r="A70" s="7"/>
      <c r="B70" s="3"/>
      <c r="C70" s="3"/>
      <c r="D70" s="3"/>
      <c r="E70" s="3"/>
      <c r="F70" s="3"/>
      <c r="G70" s="6"/>
      <c r="H70" s="3"/>
      <c r="I70" s="3"/>
      <c r="J70" s="3"/>
      <c r="K70" s="4" t="str">
        <f>IF(AND(D70="",E70=""),"",IF(E70="",1,IFERROR(INDEX(상품·기준!$C$35:$C$38,MATCH(E70,상품·기준!$A$35:$A$38,0)),"단위 확인")))</f>
        <v/>
      </c>
      <c r="L70" s="4" t="str">
        <f t="shared" si="0"/>
        <v/>
      </c>
      <c r="M70" s="4" t="str">
        <f>IF(COUNTA(A70:J70)=0,"",IF(A70="","날짜 미입력",IF(NOT(ISNUMBER(A70)),"날짜 확인(날짜 형식이 아님)",IF(B70="","구분 미입력",IF(D70="","수량 미입력",IF(NOT(ISNUMBER(D70)),"수량 확인(숫자가 아님)",IF(AND(D70&lt;0,B70&lt;&gt;"조정"),"음수 수량(구분으로 방향 표시)",IF(NOT(ISNUMBER(K70)),"단위 확인",IF(AND(OR(B70="입고",B70="기초"),G70=""),"단가 미입력",IF(OR(A70&lt;상품·기준!$C$14,A70&gt;상품·기준!$C$15),"기간 밖",IF(AND(H70&lt;&gt;"아니오",C70&lt;&gt;"",COUNTIFS($C$7:$C$306,C70,$B$7:$B$306,B70,$F$7:$F$306,F70,$H$7:$H$306,"&lt;&gt;아니오")&gt;1),"중복 의심(같은 문서번호·구분·상태)","정상")))))))))))</f>
        <v/>
      </c>
      <c r="N70" s="15" t="str">
        <f t="shared" si="1"/>
        <v/>
      </c>
    </row>
    <row r="71" spans="1:14">
      <c r="A71" s="7"/>
      <c r="B71" s="3"/>
      <c r="C71" s="3"/>
      <c r="D71" s="3"/>
      <c r="E71" s="3"/>
      <c r="F71" s="3"/>
      <c r="G71" s="6"/>
      <c r="H71" s="3"/>
      <c r="I71" s="3"/>
      <c r="J71" s="3"/>
      <c r="K71" s="4" t="str">
        <f>IF(AND(D71="",E71=""),"",IF(E71="",1,IFERROR(INDEX(상품·기준!$C$35:$C$38,MATCH(E71,상품·기준!$A$35:$A$38,0)),"단위 확인")))</f>
        <v/>
      </c>
      <c r="L71" s="4" t="str">
        <f t="shared" ref="L71:L134" si="2">IF(AND(ISNUMBER(D71),ISNUMBER(K71)),D71*K71,"")</f>
        <v/>
      </c>
      <c r="M71" s="4" t="str">
        <f>IF(COUNTA(A71:J71)=0,"",IF(A71="","날짜 미입력",IF(NOT(ISNUMBER(A71)),"날짜 확인(날짜 형식이 아님)",IF(B71="","구분 미입력",IF(D71="","수량 미입력",IF(NOT(ISNUMBER(D71)),"수량 확인(숫자가 아님)",IF(AND(D71&lt;0,B71&lt;&gt;"조정"),"음수 수량(구분으로 방향 표시)",IF(NOT(ISNUMBER(K71)),"단위 확인",IF(AND(OR(B71="입고",B71="기초"),G71=""),"단가 미입력",IF(OR(A71&lt;상품·기준!$C$14,A71&gt;상품·기준!$C$15),"기간 밖",IF(AND(H71&lt;&gt;"아니오",C71&lt;&gt;"",COUNTIFS($C$7:$C$306,C71,$B$7:$B$306,B71,$F$7:$F$306,F71,$H$7:$H$306,"&lt;&gt;아니오")&gt;1),"중복 의심(같은 문서번호·구분·상태)","정상")))))))))))</f>
        <v/>
      </c>
      <c r="N71" s="15" t="str">
        <f t="shared" ref="N71:N134" si="3">IF(M71="","",IF(M71="정상",0,1))</f>
        <v/>
      </c>
    </row>
    <row r="72" spans="1:14">
      <c r="A72" s="7"/>
      <c r="B72" s="3"/>
      <c r="C72" s="3"/>
      <c r="D72" s="3"/>
      <c r="E72" s="3"/>
      <c r="F72" s="3"/>
      <c r="G72" s="6"/>
      <c r="H72" s="3"/>
      <c r="I72" s="3"/>
      <c r="J72" s="3"/>
      <c r="K72" s="4" t="str">
        <f>IF(AND(D72="",E72=""),"",IF(E72="",1,IFERROR(INDEX(상품·기준!$C$35:$C$38,MATCH(E72,상품·기준!$A$35:$A$38,0)),"단위 확인")))</f>
        <v/>
      </c>
      <c r="L72" s="4" t="str">
        <f t="shared" si="2"/>
        <v/>
      </c>
      <c r="M72" s="4" t="str">
        <f>IF(COUNTA(A72:J72)=0,"",IF(A72="","날짜 미입력",IF(NOT(ISNUMBER(A72)),"날짜 확인(날짜 형식이 아님)",IF(B72="","구분 미입력",IF(D72="","수량 미입력",IF(NOT(ISNUMBER(D72)),"수량 확인(숫자가 아님)",IF(AND(D72&lt;0,B72&lt;&gt;"조정"),"음수 수량(구분으로 방향 표시)",IF(NOT(ISNUMBER(K72)),"단위 확인",IF(AND(OR(B72="입고",B72="기초"),G72=""),"단가 미입력",IF(OR(A72&lt;상품·기준!$C$14,A72&gt;상품·기준!$C$15),"기간 밖",IF(AND(H72&lt;&gt;"아니오",C72&lt;&gt;"",COUNTIFS($C$7:$C$306,C72,$B$7:$B$306,B72,$F$7:$F$306,F72,$H$7:$H$306,"&lt;&gt;아니오")&gt;1),"중복 의심(같은 문서번호·구분·상태)","정상")))))))))))</f>
        <v/>
      </c>
      <c r="N72" s="15" t="str">
        <f t="shared" si="3"/>
        <v/>
      </c>
    </row>
    <row r="73" spans="1:14">
      <c r="A73" s="7"/>
      <c r="B73" s="3"/>
      <c r="C73" s="3"/>
      <c r="D73" s="3"/>
      <c r="E73" s="3"/>
      <c r="F73" s="3"/>
      <c r="G73" s="6"/>
      <c r="H73" s="3"/>
      <c r="I73" s="3"/>
      <c r="J73" s="3"/>
      <c r="K73" s="4" t="str">
        <f>IF(AND(D73="",E73=""),"",IF(E73="",1,IFERROR(INDEX(상품·기준!$C$35:$C$38,MATCH(E73,상품·기준!$A$35:$A$38,0)),"단위 확인")))</f>
        <v/>
      </c>
      <c r="L73" s="4" t="str">
        <f t="shared" si="2"/>
        <v/>
      </c>
      <c r="M73" s="4" t="str">
        <f>IF(COUNTA(A73:J73)=0,"",IF(A73="","날짜 미입력",IF(NOT(ISNUMBER(A73)),"날짜 확인(날짜 형식이 아님)",IF(B73="","구분 미입력",IF(D73="","수량 미입력",IF(NOT(ISNUMBER(D73)),"수량 확인(숫자가 아님)",IF(AND(D73&lt;0,B73&lt;&gt;"조정"),"음수 수량(구분으로 방향 표시)",IF(NOT(ISNUMBER(K73)),"단위 확인",IF(AND(OR(B73="입고",B73="기초"),G73=""),"단가 미입력",IF(OR(A73&lt;상품·기준!$C$14,A73&gt;상품·기준!$C$15),"기간 밖",IF(AND(H73&lt;&gt;"아니오",C73&lt;&gt;"",COUNTIFS($C$7:$C$306,C73,$B$7:$B$306,B73,$F$7:$F$306,F73,$H$7:$H$306,"&lt;&gt;아니오")&gt;1),"중복 의심(같은 문서번호·구분·상태)","정상")))))))))))</f>
        <v/>
      </c>
      <c r="N73" s="15" t="str">
        <f t="shared" si="3"/>
        <v/>
      </c>
    </row>
    <row r="74" spans="1:14">
      <c r="A74" s="7"/>
      <c r="B74" s="3"/>
      <c r="C74" s="3"/>
      <c r="D74" s="3"/>
      <c r="E74" s="3"/>
      <c r="F74" s="3"/>
      <c r="G74" s="6"/>
      <c r="H74" s="3"/>
      <c r="I74" s="3"/>
      <c r="J74" s="3"/>
      <c r="K74" s="4" t="str">
        <f>IF(AND(D74="",E74=""),"",IF(E74="",1,IFERROR(INDEX(상품·기준!$C$35:$C$38,MATCH(E74,상품·기준!$A$35:$A$38,0)),"단위 확인")))</f>
        <v/>
      </c>
      <c r="L74" s="4" t="str">
        <f t="shared" si="2"/>
        <v/>
      </c>
      <c r="M74" s="4" t="str">
        <f>IF(COUNTA(A74:J74)=0,"",IF(A74="","날짜 미입력",IF(NOT(ISNUMBER(A74)),"날짜 확인(날짜 형식이 아님)",IF(B74="","구분 미입력",IF(D74="","수량 미입력",IF(NOT(ISNUMBER(D74)),"수량 확인(숫자가 아님)",IF(AND(D74&lt;0,B74&lt;&gt;"조정"),"음수 수량(구분으로 방향 표시)",IF(NOT(ISNUMBER(K74)),"단위 확인",IF(AND(OR(B74="입고",B74="기초"),G74=""),"단가 미입력",IF(OR(A74&lt;상품·기준!$C$14,A74&gt;상품·기준!$C$15),"기간 밖",IF(AND(H74&lt;&gt;"아니오",C74&lt;&gt;"",COUNTIFS($C$7:$C$306,C74,$B$7:$B$306,B74,$F$7:$F$306,F74,$H$7:$H$306,"&lt;&gt;아니오")&gt;1),"중복 의심(같은 문서번호·구분·상태)","정상")))))))))))</f>
        <v/>
      </c>
      <c r="N74" s="15" t="str">
        <f t="shared" si="3"/>
        <v/>
      </c>
    </row>
    <row r="75" spans="1:14">
      <c r="A75" s="7"/>
      <c r="B75" s="3"/>
      <c r="C75" s="3"/>
      <c r="D75" s="3"/>
      <c r="E75" s="3"/>
      <c r="F75" s="3"/>
      <c r="G75" s="6"/>
      <c r="H75" s="3"/>
      <c r="I75" s="3"/>
      <c r="J75" s="3"/>
      <c r="K75" s="4" t="str">
        <f>IF(AND(D75="",E75=""),"",IF(E75="",1,IFERROR(INDEX(상품·기준!$C$35:$C$38,MATCH(E75,상품·기준!$A$35:$A$38,0)),"단위 확인")))</f>
        <v/>
      </c>
      <c r="L75" s="4" t="str">
        <f t="shared" si="2"/>
        <v/>
      </c>
      <c r="M75" s="4" t="str">
        <f>IF(COUNTA(A75:J75)=0,"",IF(A75="","날짜 미입력",IF(NOT(ISNUMBER(A75)),"날짜 확인(날짜 형식이 아님)",IF(B75="","구분 미입력",IF(D75="","수량 미입력",IF(NOT(ISNUMBER(D75)),"수량 확인(숫자가 아님)",IF(AND(D75&lt;0,B75&lt;&gt;"조정"),"음수 수량(구분으로 방향 표시)",IF(NOT(ISNUMBER(K75)),"단위 확인",IF(AND(OR(B75="입고",B75="기초"),G75=""),"단가 미입력",IF(OR(A75&lt;상품·기준!$C$14,A75&gt;상품·기준!$C$15),"기간 밖",IF(AND(H75&lt;&gt;"아니오",C75&lt;&gt;"",COUNTIFS($C$7:$C$306,C75,$B$7:$B$306,B75,$F$7:$F$306,F75,$H$7:$H$306,"&lt;&gt;아니오")&gt;1),"중복 의심(같은 문서번호·구분·상태)","정상")))))))))))</f>
        <v/>
      </c>
      <c r="N75" s="15" t="str">
        <f t="shared" si="3"/>
        <v/>
      </c>
    </row>
    <row r="76" spans="1:14">
      <c r="A76" s="7"/>
      <c r="B76" s="3"/>
      <c r="C76" s="3"/>
      <c r="D76" s="3"/>
      <c r="E76" s="3"/>
      <c r="F76" s="3"/>
      <c r="G76" s="6"/>
      <c r="H76" s="3"/>
      <c r="I76" s="3"/>
      <c r="J76" s="3"/>
      <c r="K76" s="4" t="str">
        <f>IF(AND(D76="",E76=""),"",IF(E76="",1,IFERROR(INDEX(상품·기준!$C$35:$C$38,MATCH(E76,상품·기준!$A$35:$A$38,0)),"단위 확인")))</f>
        <v/>
      </c>
      <c r="L76" s="4" t="str">
        <f t="shared" si="2"/>
        <v/>
      </c>
      <c r="M76" s="4" t="str">
        <f>IF(COUNTA(A76:J76)=0,"",IF(A76="","날짜 미입력",IF(NOT(ISNUMBER(A76)),"날짜 확인(날짜 형식이 아님)",IF(B76="","구분 미입력",IF(D76="","수량 미입력",IF(NOT(ISNUMBER(D76)),"수량 확인(숫자가 아님)",IF(AND(D76&lt;0,B76&lt;&gt;"조정"),"음수 수량(구분으로 방향 표시)",IF(NOT(ISNUMBER(K76)),"단위 확인",IF(AND(OR(B76="입고",B76="기초"),G76=""),"단가 미입력",IF(OR(A76&lt;상품·기준!$C$14,A76&gt;상품·기준!$C$15),"기간 밖",IF(AND(H76&lt;&gt;"아니오",C76&lt;&gt;"",COUNTIFS($C$7:$C$306,C76,$B$7:$B$306,B76,$F$7:$F$306,F76,$H$7:$H$306,"&lt;&gt;아니오")&gt;1),"중복 의심(같은 문서번호·구분·상태)","정상")))))))))))</f>
        <v/>
      </c>
      <c r="N76" s="15" t="str">
        <f t="shared" si="3"/>
        <v/>
      </c>
    </row>
    <row r="77" spans="1:14">
      <c r="A77" s="7"/>
      <c r="B77" s="3"/>
      <c r="C77" s="3"/>
      <c r="D77" s="3"/>
      <c r="E77" s="3"/>
      <c r="F77" s="3"/>
      <c r="G77" s="6"/>
      <c r="H77" s="3"/>
      <c r="I77" s="3"/>
      <c r="J77" s="3"/>
      <c r="K77" s="4" t="str">
        <f>IF(AND(D77="",E77=""),"",IF(E77="",1,IFERROR(INDEX(상품·기준!$C$35:$C$38,MATCH(E77,상품·기준!$A$35:$A$38,0)),"단위 확인")))</f>
        <v/>
      </c>
      <c r="L77" s="4" t="str">
        <f t="shared" si="2"/>
        <v/>
      </c>
      <c r="M77" s="4" t="str">
        <f>IF(COUNTA(A77:J77)=0,"",IF(A77="","날짜 미입력",IF(NOT(ISNUMBER(A77)),"날짜 확인(날짜 형식이 아님)",IF(B77="","구분 미입력",IF(D77="","수량 미입력",IF(NOT(ISNUMBER(D77)),"수량 확인(숫자가 아님)",IF(AND(D77&lt;0,B77&lt;&gt;"조정"),"음수 수량(구분으로 방향 표시)",IF(NOT(ISNUMBER(K77)),"단위 확인",IF(AND(OR(B77="입고",B77="기초"),G77=""),"단가 미입력",IF(OR(A77&lt;상품·기준!$C$14,A77&gt;상품·기준!$C$15),"기간 밖",IF(AND(H77&lt;&gt;"아니오",C77&lt;&gt;"",COUNTIFS($C$7:$C$306,C77,$B$7:$B$306,B77,$F$7:$F$306,F77,$H$7:$H$306,"&lt;&gt;아니오")&gt;1),"중복 의심(같은 문서번호·구분·상태)","정상")))))))))))</f>
        <v/>
      </c>
      <c r="N77" s="15" t="str">
        <f t="shared" si="3"/>
        <v/>
      </c>
    </row>
    <row r="78" spans="1:14">
      <c r="A78" s="7"/>
      <c r="B78" s="3"/>
      <c r="C78" s="3"/>
      <c r="D78" s="3"/>
      <c r="E78" s="3"/>
      <c r="F78" s="3"/>
      <c r="G78" s="6"/>
      <c r="H78" s="3"/>
      <c r="I78" s="3"/>
      <c r="J78" s="3"/>
      <c r="K78" s="4" t="str">
        <f>IF(AND(D78="",E78=""),"",IF(E78="",1,IFERROR(INDEX(상품·기준!$C$35:$C$38,MATCH(E78,상품·기준!$A$35:$A$38,0)),"단위 확인")))</f>
        <v/>
      </c>
      <c r="L78" s="4" t="str">
        <f t="shared" si="2"/>
        <v/>
      </c>
      <c r="M78" s="4" t="str">
        <f>IF(COUNTA(A78:J78)=0,"",IF(A78="","날짜 미입력",IF(NOT(ISNUMBER(A78)),"날짜 확인(날짜 형식이 아님)",IF(B78="","구분 미입력",IF(D78="","수량 미입력",IF(NOT(ISNUMBER(D78)),"수량 확인(숫자가 아님)",IF(AND(D78&lt;0,B78&lt;&gt;"조정"),"음수 수량(구분으로 방향 표시)",IF(NOT(ISNUMBER(K78)),"단위 확인",IF(AND(OR(B78="입고",B78="기초"),G78=""),"단가 미입력",IF(OR(A78&lt;상품·기준!$C$14,A78&gt;상품·기준!$C$15),"기간 밖",IF(AND(H78&lt;&gt;"아니오",C78&lt;&gt;"",COUNTIFS($C$7:$C$306,C78,$B$7:$B$306,B78,$F$7:$F$306,F78,$H$7:$H$306,"&lt;&gt;아니오")&gt;1),"중복 의심(같은 문서번호·구분·상태)","정상")))))))))))</f>
        <v/>
      </c>
      <c r="N78" s="15" t="str">
        <f t="shared" si="3"/>
        <v/>
      </c>
    </row>
    <row r="79" spans="1:14">
      <c r="A79" s="7"/>
      <c r="B79" s="3"/>
      <c r="C79" s="3"/>
      <c r="D79" s="3"/>
      <c r="E79" s="3"/>
      <c r="F79" s="3"/>
      <c r="G79" s="6"/>
      <c r="H79" s="3"/>
      <c r="I79" s="3"/>
      <c r="J79" s="3"/>
      <c r="K79" s="4" t="str">
        <f>IF(AND(D79="",E79=""),"",IF(E79="",1,IFERROR(INDEX(상품·기준!$C$35:$C$38,MATCH(E79,상품·기준!$A$35:$A$38,0)),"단위 확인")))</f>
        <v/>
      </c>
      <c r="L79" s="4" t="str">
        <f t="shared" si="2"/>
        <v/>
      </c>
      <c r="M79" s="4" t="str">
        <f>IF(COUNTA(A79:J79)=0,"",IF(A79="","날짜 미입력",IF(NOT(ISNUMBER(A79)),"날짜 확인(날짜 형식이 아님)",IF(B79="","구분 미입력",IF(D79="","수량 미입력",IF(NOT(ISNUMBER(D79)),"수량 확인(숫자가 아님)",IF(AND(D79&lt;0,B79&lt;&gt;"조정"),"음수 수량(구분으로 방향 표시)",IF(NOT(ISNUMBER(K79)),"단위 확인",IF(AND(OR(B79="입고",B79="기초"),G79=""),"단가 미입력",IF(OR(A79&lt;상품·기준!$C$14,A79&gt;상품·기준!$C$15),"기간 밖",IF(AND(H79&lt;&gt;"아니오",C79&lt;&gt;"",COUNTIFS($C$7:$C$306,C79,$B$7:$B$306,B79,$F$7:$F$306,F79,$H$7:$H$306,"&lt;&gt;아니오")&gt;1),"중복 의심(같은 문서번호·구분·상태)","정상")))))))))))</f>
        <v/>
      </c>
      <c r="N79" s="15" t="str">
        <f t="shared" si="3"/>
        <v/>
      </c>
    </row>
    <row r="80" spans="1:14">
      <c r="A80" s="7"/>
      <c r="B80" s="3"/>
      <c r="C80" s="3"/>
      <c r="D80" s="3"/>
      <c r="E80" s="3"/>
      <c r="F80" s="3"/>
      <c r="G80" s="6"/>
      <c r="H80" s="3"/>
      <c r="I80" s="3"/>
      <c r="J80" s="3"/>
      <c r="K80" s="4" t="str">
        <f>IF(AND(D80="",E80=""),"",IF(E80="",1,IFERROR(INDEX(상품·기준!$C$35:$C$38,MATCH(E80,상품·기준!$A$35:$A$38,0)),"단위 확인")))</f>
        <v/>
      </c>
      <c r="L80" s="4" t="str">
        <f t="shared" si="2"/>
        <v/>
      </c>
      <c r="M80" s="4" t="str">
        <f>IF(COUNTA(A80:J80)=0,"",IF(A80="","날짜 미입력",IF(NOT(ISNUMBER(A80)),"날짜 확인(날짜 형식이 아님)",IF(B80="","구분 미입력",IF(D80="","수량 미입력",IF(NOT(ISNUMBER(D80)),"수량 확인(숫자가 아님)",IF(AND(D80&lt;0,B80&lt;&gt;"조정"),"음수 수량(구분으로 방향 표시)",IF(NOT(ISNUMBER(K80)),"단위 확인",IF(AND(OR(B80="입고",B80="기초"),G80=""),"단가 미입력",IF(OR(A80&lt;상품·기준!$C$14,A80&gt;상품·기준!$C$15),"기간 밖",IF(AND(H80&lt;&gt;"아니오",C80&lt;&gt;"",COUNTIFS($C$7:$C$306,C80,$B$7:$B$306,B80,$F$7:$F$306,F80,$H$7:$H$306,"&lt;&gt;아니오")&gt;1),"중복 의심(같은 문서번호·구분·상태)","정상")))))))))))</f>
        <v/>
      </c>
      <c r="N80" s="15" t="str">
        <f t="shared" si="3"/>
        <v/>
      </c>
    </row>
    <row r="81" spans="1:14">
      <c r="A81" s="7"/>
      <c r="B81" s="3"/>
      <c r="C81" s="3"/>
      <c r="D81" s="3"/>
      <c r="E81" s="3"/>
      <c r="F81" s="3"/>
      <c r="G81" s="6"/>
      <c r="H81" s="3"/>
      <c r="I81" s="3"/>
      <c r="J81" s="3"/>
      <c r="K81" s="4" t="str">
        <f>IF(AND(D81="",E81=""),"",IF(E81="",1,IFERROR(INDEX(상품·기준!$C$35:$C$38,MATCH(E81,상품·기준!$A$35:$A$38,0)),"단위 확인")))</f>
        <v/>
      </c>
      <c r="L81" s="4" t="str">
        <f t="shared" si="2"/>
        <v/>
      </c>
      <c r="M81" s="4" t="str">
        <f>IF(COUNTA(A81:J81)=0,"",IF(A81="","날짜 미입력",IF(NOT(ISNUMBER(A81)),"날짜 확인(날짜 형식이 아님)",IF(B81="","구분 미입력",IF(D81="","수량 미입력",IF(NOT(ISNUMBER(D81)),"수량 확인(숫자가 아님)",IF(AND(D81&lt;0,B81&lt;&gt;"조정"),"음수 수량(구분으로 방향 표시)",IF(NOT(ISNUMBER(K81)),"단위 확인",IF(AND(OR(B81="입고",B81="기초"),G81=""),"단가 미입력",IF(OR(A81&lt;상품·기준!$C$14,A81&gt;상품·기준!$C$15),"기간 밖",IF(AND(H81&lt;&gt;"아니오",C81&lt;&gt;"",COUNTIFS($C$7:$C$306,C81,$B$7:$B$306,B81,$F$7:$F$306,F81,$H$7:$H$306,"&lt;&gt;아니오")&gt;1),"중복 의심(같은 문서번호·구분·상태)","정상")))))))))))</f>
        <v/>
      </c>
      <c r="N81" s="15" t="str">
        <f t="shared" si="3"/>
        <v/>
      </c>
    </row>
    <row r="82" spans="1:14">
      <c r="A82" s="7"/>
      <c r="B82" s="3"/>
      <c r="C82" s="3"/>
      <c r="D82" s="3"/>
      <c r="E82" s="3"/>
      <c r="F82" s="3"/>
      <c r="G82" s="6"/>
      <c r="H82" s="3"/>
      <c r="I82" s="3"/>
      <c r="J82" s="3"/>
      <c r="K82" s="4" t="str">
        <f>IF(AND(D82="",E82=""),"",IF(E82="",1,IFERROR(INDEX(상품·기준!$C$35:$C$38,MATCH(E82,상품·기준!$A$35:$A$38,0)),"단위 확인")))</f>
        <v/>
      </c>
      <c r="L82" s="4" t="str">
        <f t="shared" si="2"/>
        <v/>
      </c>
      <c r="M82" s="4" t="str">
        <f>IF(COUNTA(A82:J82)=0,"",IF(A82="","날짜 미입력",IF(NOT(ISNUMBER(A82)),"날짜 확인(날짜 형식이 아님)",IF(B82="","구분 미입력",IF(D82="","수량 미입력",IF(NOT(ISNUMBER(D82)),"수량 확인(숫자가 아님)",IF(AND(D82&lt;0,B82&lt;&gt;"조정"),"음수 수량(구분으로 방향 표시)",IF(NOT(ISNUMBER(K82)),"단위 확인",IF(AND(OR(B82="입고",B82="기초"),G82=""),"단가 미입력",IF(OR(A82&lt;상품·기준!$C$14,A82&gt;상품·기준!$C$15),"기간 밖",IF(AND(H82&lt;&gt;"아니오",C82&lt;&gt;"",COUNTIFS($C$7:$C$306,C82,$B$7:$B$306,B82,$F$7:$F$306,F82,$H$7:$H$306,"&lt;&gt;아니오")&gt;1),"중복 의심(같은 문서번호·구분·상태)","정상")))))))))))</f>
        <v/>
      </c>
      <c r="N82" s="15" t="str">
        <f t="shared" si="3"/>
        <v/>
      </c>
    </row>
    <row r="83" spans="1:14">
      <c r="A83" s="7"/>
      <c r="B83" s="3"/>
      <c r="C83" s="3"/>
      <c r="D83" s="3"/>
      <c r="E83" s="3"/>
      <c r="F83" s="3"/>
      <c r="G83" s="6"/>
      <c r="H83" s="3"/>
      <c r="I83" s="3"/>
      <c r="J83" s="3"/>
      <c r="K83" s="4" t="str">
        <f>IF(AND(D83="",E83=""),"",IF(E83="",1,IFERROR(INDEX(상품·기준!$C$35:$C$38,MATCH(E83,상품·기준!$A$35:$A$38,0)),"단위 확인")))</f>
        <v/>
      </c>
      <c r="L83" s="4" t="str">
        <f t="shared" si="2"/>
        <v/>
      </c>
      <c r="M83" s="4" t="str">
        <f>IF(COUNTA(A83:J83)=0,"",IF(A83="","날짜 미입력",IF(NOT(ISNUMBER(A83)),"날짜 확인(날짜 형식이 아님)",IF(B83="","구분 미입력",IF(D83="","수량 미입력",IF(NOT(ISNUMBER(D83)),"수량 확인(숫자가 아님)",IF(AND(D83&lt;0,B83&lt;&gt;"조정"),"음수 수량(구분으로 방향 표시)",IF(NOT(ISNUMBER(K83)),"단위 확인",IF(AND(OR(B83="입고",B83="기초"),G83=""),"단가 미입력",IF(OR(A83&lt;상품·기준!$C$14,A83&gt;상품·기준!$C$15),"기간 밖",IF(AND(H83&lt;&gt;"아니오",C83&lt;&gt;"",COUNTIFS($C$7:$C$306,C83,$B$7:$B$306,B83,$F$7:$F$306,F83,$H$7:$H$306,"&lt;&gt;아니오")&gt;1),"중복 의심(같은 문서번호·구분·상태)","정상")))))))))))</f>
        <v/>
      </c>
      <c r="N83" s="15" t="str">
        <f t="shared" si="3"/>
        <v/>
      </c>
    </row>
    <row r="84" spans="1:14">
      <c r="A84" s="7"/>
      <c r="B84" s="3"/>
      <c r="C84" s="3"/>
      <c r="D84" s="3"/>
      <c r="E84" s="3"/>
      <c r="F84" s="3"/>
      <c r="G84" s="6"/>
      <c r="H84" s="3"/>
      <c r="I84" s="3"/>
      <c r="J84" s="3"/>
      <c r="K84" s="4" t="str">
        <f>IF(AND(D84="",E84=""),"",IF(E84="",1,IFERROR(INDEX(상품·기준!$C$35:$C$38,MATCH(E84,상품·기준!$A$35:$A$38,0)),"단위 확인")))</f>
        <v/>
      </c>
      <c r="L84" s="4" t="str">
        <f t="shared" si="2"/>
        <v/>
      </c>
      <c r="M84" s="4" t="str">
        <f>IF(COUNTA(A84:J84)=0,"",IF(A84="","날짜 미입력",IF(NOT(ISNUMBER(A84)),"날짜 확인(날짜 형식이 아님)",IF(B84="","구분 미입력",IF(D84="","수량 미입력",IF(NOT(ISNUMBER(D84)),"수량 확인(숫자가 아님)",IF(AND(D84&lt;0,B84&lt;&gt;"조정"),"음수 수량(구분으로 방향 표시)",IF(NOT(ISNUMBER(K84)),"단위 확인",IF(AND(OR(B84="입고",B84="기초"),G84=""),"단가 미입력",IF(OR(A84&lt;상품·기준!$C$14,A84&gt;상품·기준!$C$15),"기간 밖",IF(AND(H84&lt;&gt;"아니오",C84&lt;&gt;"",COUNTIFS($C$7:$C$306,C84,$B$7:$B$306,B84,$F$7:$F$306,F84,$H$7:$H$306,"&lt;&gt;아니오")&gt;1),"중복 의심(같은 문서번호·구분·상태)","정상")))))))))))</f>
        <v/>
      </c>
      <c r="N84" s="15" t="str">
        <f t="shared" si="3"/>
        <v/>
      </c>
    </row>
    <row r="85" spans="1:14">
      <c r="A85" s="7"/>
      <c r="B85" s="3"/>
      <c r="C85" s="3"/>
      <c r="D85" s="3"/>
      <c r="E85" s="3"/>
      <c r="F85" s="3"/>
      <c r="G85" s="6"/>
      <c r="H85" s="3"/>
      <c r="I85" s="3"/>
      <c r="J85" s="3"/>
      <c r="K85" s="4" t="str">
        <f>IF(AND(D85="",E85=""),"",IF(E85="",1,IFERROR(INDEX(상품·기준!$C$35:$C$38,MATCH(E85,상품·기준!$A$35:$A$38,0)),"단위 확인")))</f>
        <v/>
      </c>
      <c r="L85" s="4" t="str">
        <f t="shared" si="2"/>
        <v/>
      </c>
      <c r="M85" s="4" t="str">
        <f>IF(COUNTA(A85:J85)=0,"",IF(A85="","날짜 미입력",IF(NOT(ISNUMBER(A85)),"날짜 확인(날짜 형식이 아님)",IF(B85="","구분 미입력",IF(D85="","수량 미입력",IF(NOT(ISNUMBER(D85)),"수량 확인(숫자가 아님)",IF(AND(D85&lt;0,B85&lt;&gt;"조정"),"음수 수량(구분으로 방향 표시)",IF(NOT(ISNUMBER(K85)),"단위 확인",IF(AND(OR(B85="입고",B85="기초"),G85=""),"단가 미입력",IF(OR(A85&lt;상품·기준!$C$14,A85&gt;상품·기준!$C$15),"기간 밖",IF(AND(H85&lt;&gt;"아니오",C85&lt;&gt;"",COUNTIFS($C$7:$C$306,C85,$B$7:$B$306,B85,$F$7:$F$306,F85,$H$7:$H$306,"&lt;&gt;아니오")&gt;1),"중복 의심(같은 문서번호·구분·상태)","정상")))))))))))</f>
        <v/>
      </c>
      <c r="N85" s="15" t="str">
        <f t="shared" si="3"/>
        <v/>
      </c>
    </row>
    <row r="86" spans="1:14">
      <c r="A86" s="7"/>
      <c r="B86" s="3"/>
      <c r="C86" s="3"/>
      <c r="D86" s="3"/>
      <c r="E86" s="3"/>
      <c r="F86" s="3"/>
      <c r="G86" s="6"/>
      <c r="H86" s="3"/>
      <c r="I86" s="3"/>
      <c r="J86" s="3"/>
      <c r="K86" s="4" t="str">
        <f>IF(AND(D86="",E86=""),"",IF(E86="",1,IFERROR(INDEX(상품·기준!$C$35:$C$38,MATCH(E86,상품·기준!$A$35:$A$38,0)),"단위 확인")))</f>
        <v/>
      </c>
      <c r="L86" s="4" t="str">
        <f t="shared" si="2"/>
        <v/>
      </c>
      <c r="M86" s="4" t="str">
        <f>IF(COUNTA(A86:J86)=0,"",IF(A86="","날짜 미입력",IF(NOT(ISNUMBER(A86)),"날짜 확인(날짜 형식이 아님)",IF(B86="","구분 미입력",IF(D86="","수량 미입력",IF(NOT(ISNUMBER(D86)),"수량 확인(숫자가 아님)",IF(AND(D86&lt;0,B86&lt;&gt;"조정"),"음수 수량(구분으로 방향 표시)",IF(NOT(ISNUMBER(K86)),"단위 확인",IF(AND(OR(B86="입고",B86="기초"),G86=""),"단가 미입력",IF(OR(A86&lt;상품·기준!$C$14,A86&gt;상품·기준!$C$15),"기간 밖",IF(AND(H86&lt;&gt;"아니오",C86&lt;&gt;"",COUNTIFS($C$7:$C$306,C86,$B$7:$B$306,B86,$F$7:$F$306,F86,$H$7:$H$306,"&lt;&gt;아니오")&gt;1),"중복 의심(같은 문서번호·구분·상태)","정상")))))))))))</f>
        <v/>
      </c>
      <c r="N86" s="15" t="str">
        <f t="shared" si="3"/>
        <v/>
      </c>
    </row>
    <row r="87" spans="1:14">
      <c r="A87" s="7"/>
      <c r="B87" s="3"/>
      <c r="C87" s="3"/>
      <c r="D87" s="3"/>
      <c r="E87" s="3"/>
      <c r="F87" s="3"/>
      <c r="G87" s="6"/>
      <c r="H87" s="3"/>
      <c r="I87" s="3"/>
      <c r="J87" s="3"/>
      <c r="K87" s="4" t="str">
        <f>IF(AND(D87="",E87=""),"",IF(E87="",1,IFERROR(INDEX(상품·기준!$C$35:$C$38,MATCH(E87,상품·기준!$A$35:$A$38,0)),"단위 확인")))</f>
        <v/>
      </c>
      <c r="L87" s="4" t="str">
        <f t="shared" si="2"/>
        <v/>
      </c>
      <c r="M87" s="4" t="str">
        <f>IF(COUNTA(A87:J87)=0,"",IF(A87="","날짜 미입력",IF(NOT(ISNUMBER(A87)),"날짜 확인(날짜 형식이 아님)",IF(B87="","구분 미입력",IF(D87="","수량 미입력",IF(NOT(ISNUMBER(D87)),"수량 확인(숫자가 아님)",IF(AND(D87&lt;0,B87&lt;&gt;"조정"),"음수 수량(구분으로 방향 표시)",IF(NOT(ISNUMBER(K87)),"단위 확인",IF(AND(OR(B87="입고",B87="기초"),G87=""),"단가 미입력",IF(OR(A87&lt;상품·기준!$C$14,A87&gt;상품·기준!$C$15),"기간 밖",IF(AND(H87&lt;&gt;"아니오",C87&lt;&gt;"",COUNTIFS($C$7:$C$306,C87,$B$7:$B$306,B87,$F$7:$F$306,F87,$H$7:$H$306,"&lt;&gt;아니오")&gt;1),"중복 의심(같은 문서번호·구분·상태)","정상")))))))))))</f>
        <v/>
      </c>
      <c r="N87" s="15" t="str">
        <f t="shared" si="3"/>
        <v/>
      </c>
    </row>
    <row r="88" spans="1:14">
      <c r="A88" s="7"/>
      <c r="B88" s="3"/>
      <c r="C88" s="3"/>
      <c r="D88" s="3"/>
      <c r="E88" s="3"/>
      <c r="F88" s="3"/>
      <c r="G88" s="6"/>
      <c r="H88" s="3"/>
      <c r="I88" s="3"/>
      <c r="J88" s="3"/>
      <c r="K88" s="4" t="str">
        <f>IF(AND(D88="",E88=""),"",IF(E88="",1,IFERROR(INDEX(상품·기준!$C$35:$C$38,MATCH(E88,상품·기준!$A$35:$A$38,0)),"단위 확인")))</f>
        <v/>
      </c>
      <c r="L88" s="4" t="str">
        <f t="shared" si="2"/>
        <v/>
      </c>
      <c r="M88" s="4" t="str">
        <f>IF(COUNTA(A88:J88)=0,"",IF(A88="","날짜 미입력",IF(NOT(ISNUMBER(A88)),"날짜 확인(날짜 형식이 아님)",IF(B88="","구분 미입력",IF(D88="","수량 미입력",IF(NOT(ISNUMBER(D88)),"수량 확인(숫자가 아님)",IF(AND(D88&lt;0,B88&lt;&gt;"조정"),"음수 수량(구분으로 방향 표시)",IF(NOT(ISNUMBER(K88)),"단위 확인",IF(AND(OR(B88="입고",B88="기초"),G88=""),"단가 미입력",IF(OR(A88&lt;상품·기준!$C$14,A88&gt;상품·기준!$C$15),"기간 밖",IF(AND(H88&lt;&gt;"아니오",C88&lt;&gt;"",COUNTIFS($C$7:$C$306,C88,$B$7:$B$306,B88,$F$7:$F$306,F88,$H$7:$H$306,"&lt;&gt;아니오")&gt;1),"중복 의심(같은 문서번호·구분·상태)","정상")))))))))))</f>
        <v/>
      </c>
      <c r="N88" s="15" t="str">
        <f t="shared" si="3"/>
        <v/>
      </c>
    </row>
    <row r="89" spans="1:14">
      <c r="A89" s="7"/>
      <c r="B89" s="3"/>
      <c r="C89" s="3"/>
      <c r="D89" s="3"/>
      <c r="E89" s="3"/>
      <c r="F89" s="3"/>
      <c r="G89" s="6"/>
      <c r="H89" s="3"/>
      <c r="I89" s="3"/>
      <c r="J89" s="3"/>
      <c r="K89" s="4" t="str">
        <f>IF(AND(D89="",E89=""),"",IF(E89="",1,IFERROR(INDEX(상품·기준!$C$35:$C$38,MATCH(E89,상품·기준!$A$35:$A$38,0)),"단위 확인")))</f>
        <v/>
      </c>
      <c r="L89" s="4" t="str">
        <f t="shared" si="2"/>
        <v/>
      </c>
      <c r="M89" s="4" t="str">
        <f>IF(COUNTA(A89:J89)=0,"",IF(A89="","날짜 미입력",IF(NOT(ISNUMBER(A89)),"날짜 확인(날짜 형식이 아님)",IF(B89="","구분 미입력",IF(D89="","수량 미입력",IF(NOT(ISNUMBER(D89)),"수량 확인(숫자가 아님)",IF(AND(D89&lt;0,B89&lt;&gt;"조정"),"음수 수량(구분으로 방향 표시)",IF(NOT(ISNUMBER(K89)),"단위 확인",IF(AND(OR(B89="입고",B89="기초"),G89=""),"단가 미입력",IF(OR(A89&lt;상품·기준!$C$14,A89&gt;상품·기준!$C$15),"기간 밖",IF(AND(H89&lt;&gt;"아니오",C89&lt;&gt;"",COUNTIFS($C$7:$C$306,C89,$B$7:$B$306,B89,$F$7:$F$306,F89,$H$7:$H$306,"&lt;&gt;아니오")&gt;1),"중복 의심(같은 문서번호·구분·상태)","정상")))))))))))</f>
        <v/>
      </c>
      <c r="N89" s="15" t="str">
        <f t="shared" si="3"/>
        <v/>
      </c>
    </row>
    <row r="90" spans="1:14">
      <c r="A90" s="7"/>
      <c r="B90" s="3"/>
      <c r="C90" s="3"/>
      <c r="D90" s="3"/>
      <c r="E90" s="3"/>
      <c r="F90" s="3"/>
      <c r="G90" s="6"/>
      <c r="H90" s="3"/>
      <c r="I90" s="3"/>
      <c r="J90" s="3"/>
      <c r="K90" s="4" t="str">
        <f>IF(AND(D90="",E90=""),"",IF(E90="",1,IFERROR(INDEX(상품·기준!$C$35:$C$38,MATCH(E90,상품·기준!$A$35:$A$38,0)),"단위 확인")))</f>
        <v/>
      </c>
      <c r="L90" s="4" t="str">
        <f t="shared" si="2"/>
        <v/>
      </c>
      <c r="M90" s="4" t="str">
        <f>IF(COUNTA(A90:J90)=0,"",IF(A90="","날짜 미입력",IF(NOT(ISNUMBER(A90)),"날짜 확인(날짜 형식이 아님)",IF(B90="","구분 미입력",IF(D90="","수량 미입력",IF(NOT(ISNUMBER(D90)),"수량 확인(숫자가 아님)",IF(AND(D90&lt;0,B90&lt;&gt;"조정"),"음수 수량(구분으로 방향 표시)",IF(NOT(ISNUMBER(K90)),"단위 확인",IF(AND(OR(B90="입고",B90="기초"),G90=""),"단가 미입력",IF(OR(A90&lt;상품·기준!$C$14,A90&gt;상품·기준!$C$15),"기간 밖",IF(AND(H90&lt;&gt;"아니오",C90&lt;&gt;"",COUNTIFS($C$7:$C$306,C90,$B$7:$B$306,B90,$F$7:$F$306,F90,$H$7:$H$306,"&lt;&gt;아니오")&gt;1),"중복 의심(같은 문서번호·구분·상태)","정상")))))))))))</f>
        <v/>
      </c>
      <c r="N90" s="15" t="str">
        <f t="shared" si="3"/>
        <v/>
      </c>
    </row>
    <row r="91" spans="1:14">
      <c r="A91" s="7"/>
      <c r="B91" s="3"/>
      <c r="C91" s="3"/>
      <c r="D91" s="3"/>
      <c r="E91" s="3"/>
      <c r="F91" s="3"/>
      <c r="G91" s="6"/>
      <c r="H91" s="3"/>
      <c r="I91" s="3"/>
      <c r="J91" s="3"/>
      <c r="K91" s="4" t="str">
        <f>IF(AND(D91="",E91=""),"",IF(E91="",1,IFERROR(INDEX(상품·기준!$C$35:$C$38,MATCH(E91,상품·기준!$A$35:$A$38,0)),"단위 확인")))</f>
        <v/>
      </c>
      <c r="L91" s="4" t="str">
        <f t="shared" si="2"/>
        <v/>
      </c>
      <c r="M91" s="4" t="str">
        <f>IF(COUNTA(A91:J91)=0,"",IF(A91="","날짜 미입력",IF(NOT(ISNUMBER(A91)),"날짜 확인(날짜 형식이 아님)",IF(B91="","구분 미입력",IF(D91="","수량 미입력",IF(NOT(ISNUMBER(D91)),"수량 확인(숫자가 아님)",IF(AND(D91&lt;0,B91&lt;&gt;"조정"),"음수 수량(구분으로 방향 표시)",IF(NOT(ISNUMBER(K91)),"단위 확인",IF(AND(OR(B91="입고",B91="기초"),G91=""),"단가 미입력",IF(OR(A91&lt;상품·기준!$C$14,A91&gt;상품·기준!$C$15),"기간 밖",IF(AND(H91&lt;&gt;"아니오",C91&lt;&gt;"",COUNTIFS($C$7:$C$306,C91,$B$7:$B$306,B91,$F$7:$F$306,F91,$H$7:$H$306,"&lt;&gt;아니오")&gt;1),"중복 의심(같은 문서번호·구분·상태)","정상")))))))))))</f>
        <v/>
      </c>
      <c r="N91" s="15" t="str">
        <f t="shared" si="3"/>
        <v/>
      </c>
    </row>
    <row r="92" spans="1:14">
      <c r="A92" s="7"/>
      <c r="B92" s="3"/>
      <c r="C92" s="3"/>
      <c r="D92" s="3"/>
      <c r="E92" s="3"/>
      <c r="F92" s="3"/>
      <c r="G92" s="6"/>
      <c r="H92" s="3"/>
      <c r="I92" s="3"/>
      <c r="J92" s="3"/>
      <c r="K92" s="4" t="str">
        <f>IF(AND(D92="",E92=""),"",IF(E92="",1,IFERROR(INDEX(상품·기준!$C$35:$C$38,MATCH(E92,상품·기준!$A$35:$A$38,0)),"단위 확인")))</f>
        <v/>
      </c>
      <c r="L92" s="4" t="str">
        <f t="shared" si="2"/>
        <v/>
      </c>
      <c r="M92" s="4" t="str">
        <f>IF(COUNTA(A92:J92)=0,"",IF(A92="","날짜 미입력",IF(NOT(ISNUMBER(A92)),"날짜 확인(날짜 형식이 아님)",IF(B92="","구분 미입력",IF(D92="","수량 미입력",IF(NOT(ISNUMBER(D92)),"수량 확인(숫자가 아님)",IF(AND(D92&lt;0,B92&lt;&gt;"조정"),"음수 수량(구분으로 방향 표시)",IF(NOT(ISNUMBER(K92)),"단위 확인",IF(AND(OR(B92="입고",B92="기초"),G92=""),"단가 미입력",IF(OR(A92&lt;상품·기준!$C$14,A92&gt;상품·기준!$C$15),"기간 밖",IF(AND(H92&lt;&gt;"아니오",C92&lt;&gt;"",COUNTIFS($C$7:$C$306,C92,$B$7:$B$306,B92,$F$7:$F$306,F92,$H$7:$H$306,"&lt;&gt;아니오")&gt;1),"중복 의심(같은 문서번호·구분·상태)","정상")))))))))))</f>
        <v/>
      </c>
      <c r="N92" s="15" t="str">
        <f t="shared" si="3"/>
        <v/>
      </c>
    </row>
    <row r="93" spans="1:14">
      <c r="A93" s="7"/>
      <c r="B93" s="3"/>
      <c r="C93" s="3"/>
      <c r="D93" s="3"/>
      <c r="E93" s="3"/>
      <c r="F93" s="3"/>
      <c r="G93" s="6"/>
      <c r="H93" s="3"/>
      <c r="I93" s="3"/>
      <c r="J93" s="3"/>
      <c r="K93" s="4" t="str">
        <f>IF(AND(D93="",E93=""),"",IF(E93="",1,IFERROR(INDEX(상품·기준!$C$35:$C$38,MATCH(E93,상품·기준!$A$35:$A$38,0)),"단위 확인")))</f>
        <v/>
      </c>
      <c r="L93" s="4" t="str">
        <f t="shared" si="2"/>
        <v/>
      </c>
      <c r="M93" s="4" t="str">
        <f>IF(COUNTA(A93:J93)=0,"",IF(A93="","날짜 미입력",IF(NOT(ISNUMBER(A93)),"날짜 확인(날짜 형식이 아님)",IF(B93="","구분 미입력",IF(D93="","수량 미입력",IF(NOT(ISNUMBER(D93)),"수량 확인(숫자가 아님)",IF(AND(D93&lt;0,B93&lt;&gt;"조정"),"음수 수량(구분으로 방향 표시)",IF(NOT(ISNUMBER(K93)),"단위 확인",IF(AND(OR(B93="입고",B93="기초"),G93=""),"단가 미입력",IF(OR(A93&lt;상품·기준!$C$14,A93&gt;상품·기준!$C$15),"기간 밖",IF(AND(H93&lt;&gt;"아니오",C93&lt;&gt;"",COUNTIFS($C$7:$C$306,C93,$B$7:$B$306,B93,$F$7:$F$306,F93,$H$7:$H$306,"&lt;&gt;아니오")&gt;1),"중복 의심(같은 문서번호·구분·상태)","정상")))))))))))</f>
        <v/>
      </c>
      <c r="N93" s="15" t="str">
        <f t="shared" si="3"/>
        <v/>
      </c>
    </row>
    <row r="94" spans="1:14">
      <c r="A94" s="7"/>
      <c r="B94" s="3"/>
      <c r="C94" s="3"/>
      <c r="D94" s="3"/>
      <c r="E94" s="3"/>
      <c r="F94" s="3"/>
      <c r="G94" s="6"/>
      <c r="H94" s="3"/>
      <c r="I94" s="3"/>
      <c r="J94" s="3"/>
      <c r="K94" s="4" t="str">
        <f>IF(AND(D94="",E94=""),"",IF(E94="",1,IFERROR(INDEX(상품·기준!$C$35:$C$38,MATCH(E94,상품·기준!$A$35:$A$38,0)),"단위 확인")))</f>
        <v/>
      </c>
      <c r="L94" s="4" t="str">
        <f t="shared" si="2"/>
        <v/>
      </c>
      <c r="M94" s="4" t="str">
        <f>IF(COUNTA(A94:J94)=0,"",IF(A94="","날짜 미입력",IF(NOT(ISNUMBER(A94)),"날짜 확인(날짜 형식이 아님)",IF(B94="","구분 미입력",IF(D94="","수량 미입력",IF(NOT(ISNUMBER(D94)),"수량 확인(숫자가 아님)",IF(AND(D94&lt;0,B94&lt;&gt;"조정"),"음수 수량(구분으로 방향 표시)",IF(NOT(ISNUMBER(K94)),"단위 확인",IF(AND(OR(B94="입고",B94="기초"),G94=""),"단가 미입력",IF(OR(A94&lt;상품·기준!$C$14,A94&gt;상품·기준!$C$15),"기간 밖",IF(AND(H94&lt;&gt;"아니오",C94&lt;&gt;"",COUNTIFS($C$7:$C$306,C94,$B$7:$B$306,B94,$F$7:$F$306,F94,$H$7:$H$306,"&lt;&gt;아니오")&gt;1),"중복 의심(같은 문서번호·구분·상태)","정상")))))))))))</f>
        <v/>
      </c>
      <c r="N94" s="15" t="str">
        <f t="shared" si="3"/>
        <v/>
      </c>
    </row>
    <row r="95" spans="1:14">
      <c r="A95" s="7"/>
      <c r="B95" s="3"/>
      <c r="C95" s="3"/>
      <c r="D95" s="3"/>
      <c r="E95" s="3"/>
      <c r="F95" s="3"/>
      <c r="G95" s="6"/>
      <c r="H95" s="3"/>
      <c r="I95" s="3"/>
      <c r="J95" s="3"/>
      <c r="K95" s="4" t="str">
        <f>IF(AND(D95="",E95=""),"",IF(E95="",1,IFERROR(INDEX(상품·기준!$C$35:$C$38,MATCH(E95,상품·기준!$A$35:$A$38,0)),"단위 확인")))</f>
        <v/>
      </c>
      <c r="L95" s="4" t="str">
        <f t="shared" si="2"/>
        <v/>
      </c>
      <c r="M95" s="4" t="str">
        <f>IF(COUNTA(A95:J95)=0,"",IF(A95="","날짜 미입력",IF(NOT(ISNUMBER(A95)),"날짜 확인(날짜 형식이 아님)",IF(B95="","구분 미입력",IF(D95="","수량 미입력",IF(NOT(ISNUMBER(D95)),"수량 확인(숫자가 아님)",IF(AND(D95&lt;0,B95&lt;&gt;"조정"),"음수 수량(구분으로 방향 표시)",IF(NOT(ISNUMBER(K95)),"단위 확인",IF(AND(OR(B95="입고",B95="기초"),G95=""),"단가 미입력",IF(OR(A95&lt;상품·기준!$C$14,A95&gt;상품·기준!$C$15),"기간 밖",IF(AND(H95&lt;&gt;"아니오",C95&lt;&gt;"",COUNTIFS($C$7:$C$306,C95,$B$7:$B$306,B95,$F$7:$F$306,F95,$H$7:$H$306,"&lt;&gt;아니오")&gt;1),"중복 의심(같은 문서번호·구분·상태)","정상")))))))))))</f>
        <v/>
      </c>
      <c r="N95" s="15" t="str">
        <f t="shared" si="3"/>
        <v/>
      </c>
    </row>
    <row r="96" spans="1:14">
      <c r="A96" s="7"/>
      <c r="B96" s="3"/>
      <c r="C96" s="3"/>
      <c r="D96" s="3"/>
      <c r="E96" s="3"/>
      <c r="F96" s="3"/>
      <c r="G96" s="6"/>
      <c r="H96" s="3"/>
      <c r="I96" s="3"/>
      <c r="J96" s="3"/>
      <c r="K96" s="4" t="str">
        <f>IF(AND(D96="",E96=""),"",IF(E96="",1,IFERROR(INDEX(상품·기준!$C$35:$C$38,MATCH(E96,상품·기준!$A$35:$A$38,0)),"단위 확인")))</f>
        <v/>
      </c>
      <c r="L96" s="4" t="str">
        <f t="shared" si="2"/>
        <v/>
      </c>
      <c r="M96" s="4" t="str">
        <f>IF(COUNTA(A96:J96)=0,"",IF(A96="","날짜 미입력",IF(NOT(ISNUMBER(A96)),"날짜 확인(날짜 형식이 아님)",IF(B96="","구분 미입력",IF(D96="","수량 미입력",IF(NOT(ISNUMBER(D96)),"수량 확인(숫자가 아님)",IF(AND(D96&lt;0,B96&lt;&gt;"조정"),"음수 수량(구분으로 방향 표시)",IF(NOT(ISNUMBER(K96)),"단위 확인",IF(AND(OR(B96="입고",B96="기초"),G96=""),"단가 미입력",IF(OR(A96&lt;상품·기준!$C$14,A96&gt;상품·기준!$C$15),"기간 밖",IF(AND(H96&lt;&gt;"아니오",C96&lt;&gt;"",COUNTIFS($C$7:$C$306,C96,$B$7:$B$306,B96,$F$7:$F$306,F96,$H$7:$H$306,"&lt;&gt;아니오")&gt;1),"중복 의심(같은 문서번호·구분·상태)","정상")))))))))))</f>
        <v/>
      </c>
      <c r="N96" s="15" t="str">
        <f t="shared" si="3"/>
        <v/>
      </c>
    </row>
    <row r="97" spans="1:14">
      <c r="A97" s="7"/>
      <c r="B97" s="3"/>
      <c r="C97" s="3"/>
      <c r="D97" s="3"/>
      <c r="E97" s="3"/>
      <c r="F97" s="3"/>
      <c r="G97" s="6"/>
      <c r="H97" s="3"/>
      <c r="I97" s="3"/>
      <c r="J97" s="3"/>
      <c r="K97" s="4" t="str">
        <f>IF(AND(D97="",E97=""),"",IF(E97="",1,IFERROR(INDEX(상품·기준!$C$35:$C$38,MATCH(E97,상품·기준!$A$35:$A$38,0)),"단위 확인")))</f>
        <v/>
      </c>
      <c r="L97" s="4" t="str">
        <f t="shared" si="2"/>
        <v/>
      </c>
      <c r="M97" s="4" t="str">
        <f>IF(COUNTA(A97:J97)=0,"",IF(A97="","날짜 미입력",IF(NOT(ISNUMBER(A97)),"날짜 확인(날짜 형식이 아님)",IF(B97="","구분 미입력",IF(D97="","수량 미입력",IF(NOT(ISNUMBER(D97)),"수량 확인(숫자가 아님)",IF(AND(D97&lt;0,B97&lt;&gt;"조정"),"음수 수량(구분으로 방향 표시)",IF(NOT(ISNUMBER(K97)),"단위 확인",IF(AND(OR(B97="입고",B97="기초"),G97=""),"단가 미입력",IF(OR(A97&lt;상품·기준!$C$14,A97&gt;상품·기준!$C$15),"기간 밖",IF(AND(H97&lt;&gt;"아니오",C97&lt;&gt;"",COUNTIFS($C$7:$C$306,C97,$B$7:$B$306,B97,$F$7:$F$306,F97,$H$7:$H$306,"&lt;&gt;아니오")&gt;1),"중복 의심(같은 문서번호·구분·상태)","정상")))))))))))</f>
        <v/>
      </c>
      <c r="N97" s="15" t="str">
        <f t="shared" si="3"/>
        <v/>
      </c>
    </row>
    <row r="98" spans="1:14">
      <c r="A98" s="7"/>
      <c r="B98" s="3"/>
      <c r="C98" s="3"/>
      <c r="D98" s="3"/>
      <c r="E98" s="3"/>
      <c r="F98" s="3"/>
      <c r="G98" s="6"/>
      <c r="H98" s="3"/>
      <c r="I98" s="3"/>
      <c r="J98" s="3"/>
      <c r="K98" s="4" t="str">
        <f>IF(AND(D98="",E98=""),"",IF(E98="",1,IFERROR(INDEX(상품·기준!$C$35:$C$38,MATCH(E98,상품·기준!$A$35:$A$38,0)),"단위 확인")))</f>
        <v/>
      </c>
      <c r="L98" s="4" t="str">
        <f t="shared" si="2"/>
        <v/>
      </c>
      <c r="M98" s="4" t="str">
        <f>IF(COUNTA(A98:J98)=0,"",IF(A98="","날짜 미입력",IF(NOT(ISNUMBER(A98)),"날짜 확인(날짜 형식이 아님)",IF(B98="","구분 미입력",IF(D98="","수량 미입력",IF(NOT(ISNUMBER(D98)),"수량 확인(숫자가 아님)",IF(AND(D98&lt;0,B98&lt;&gt;"조정"),"음수 수량(구분으로 방향 표시)",IF(NOT(ISNUMBER(K98)),"단위 확인",IF(AND(OR(B98="입고",B98="기초"),G98=""),"단가 미입력",IF(OR(A98&lt;상품·기준!$C$14,A98&gt;상품·기준!$C$15),"기간 밖",IF(AND(H98&lt;&gt;"아니오",C98&lt;&gt;"",COUNTIFS($C$7:$C$306,C98,$B$7:$B$306,B98,$F$7:$F$306,F98,$H$7:$H$306,"&lt;&gt;아니오")&gt;1),"중복 의심(같은 문서번호·구분·상태)","정상")))))))))))</f>
        <v/>
      </c>
      <c r="N98" s="15" t="str">
        <f t="shared" si="3"/>
        <v/>
      </c>
    </row>
    <row r="99" spans="1:14">
      <c r="A99" s="7"/>
      <c r="B99" s="3"/>
      <c r="C99" s="3"/>
      <c r="D99" s="3"/>
      <c r="E99" s="3"/>
      <c r="F99" s="3"/>
      <c r="G99" s="6"/>
      <c r="H99" s="3"/>
      <c r="I99" s="3"/>
      <c r="J99" s="3"/>
      <c r="K99" s="4" t="str">
        <f>IF(AND(D99="",E99=""),"",IF(E99="",1,IFERROR(INDEX(상품·기준!$C$35:$C$38,MATCH(E99,상품·기준!$A$35:$A$38,0)),"단위 확인")))</f>
        <v/>
      </c>
      <c r="L99" s="4" t="str">
        <f t="shared" si="2"/>
        <v/>
      </c>
      <c r="M99" s="4" t="str">
        <f>IF(COUNTA(A99:J99)=0,"",IF(A99="","날짜 미입력",IF(NOT(ISNUMBER(A99)),"날짜 확인(날짜 형식이 아님)",IF(B99="","구분 미입력",IF(D99="","수량 미입력",IF(NOT(ISNUMBER(D99)),"수량 확인(숫자가 아님)",IF(AND(D99&lt;0,B99&lt;&gt;"조정"),"음수 수량(구분으로 방향 표시)",IF(NOT(ISNUMBER(K99)),"단위 확인",IF(AND(OR(B99="입고",B99="기초"),G99=""),"단가 미입력",IF(OR(A99&lt;상품·기준!$C$14,A99&gt;상품·기준!$C$15),"기간 밖",IF(AND(H99&lt;&gt;"아니오",C99&lt;&gt;"",COUNTIFS($C$7:$C$306,C99,$B$7:$B$306,B99,$F$7:$F$306,F99,$H$7:$H$306,"&lt;&gt;아니오")&gt;1),"중복 의심(같은 문서번호·구분·상태)","정상")))))))))))</f>
        <v/>
      </c>
      <c r="N99" s="15" t="str">
        <f t="shared" si="3"/>
        <v/>
      </c>
    </row>
    <row r="100" spans="1:14">
      <c r="A100" s="7"/>
      <c r="B100" s="3"/>
      <c r="C100" s="3"/>
      <c r="D100" s="3"/>
      <c r="E100" s="3"/>
      <c r="F100" s="3"/>
      <c r="G100" s="6"/>
      <c r="H100" s="3"/>
      <c r="I100" s="3"/>
      <c r="J100" s="3"/>
      <c r="K100" s="4" t="str">
        <f>IF(AND(D100="",E100=""),"",IF(E100="",1,IFERROR(INDEX(상품·기준!$C$35:$C$38,MATCH(E100,상품·기준!$A$35:$A$38,0)),"단위 확인")))</f>
        <v/>
      </c>
      <c r="L100" s="4" t="str">
        <f t="shared" si="2"/>
        <v/>
      </c>
      <c r="M100" s="4" t="str">
        <f>IF(COUNTA(A100:J100)=0,"",IF(A100="","날짜 미입력",IF(NOT(ISNUMBER(A100)),"날짜 확인(날짜 형식이 아님)",IF(B100="","구분 미입력",IF(D100="","수량 미입력",IF(NOT(ISNUMBER(D100)),"수량 확인(숫자가 아님)",IF(AND(D100&lt;0,B100&lt;&gt;"조정"),"음수 수량(구분으로 방향 표시)",IF(NOT(ISNUMBER(K100)),"단위 확인",IF(AND(OR(B100="입고",B100="기초"),G100=""),"단가 미입력",IF(OR(A100&lt;상품·기준!$C$14,A100&gt;상품·기준!$C$15),"기간 밖",IF(AND(H100&lt;&gt;"아니오",C100&lt;&gt;"",COUNTIFS($C$7:$C$306,C100,$B$7:$B$306,B100,$F$7:$F$306,F100,$H$7:$H$306,"&lt;&gt;아니오")&gt;1),"중복 의심(같은 문서번호·구분·상태)","정상")))))))))))</f>
        <v/>
      </c>
      <c r="N100" s="15" t="str">
        <f t="shared" si="3"/>
        <v/>
      </c>
    </row>
    <row r="101" spans="1:14">
      <c r="A101" s="7"/>
      <c r="B101" s="3"/>
      <c r="C101" s="3"/>
      <c r="D101" s="3"/>
      <c r="E101" s="3"/>
      <c r="F101" s="3"/>
      <c r="G101" s="6"/>
      <c r="H101" s="3"/>
      <c r="I101" s="3"/>
      <c r="J101" s="3"/>
      <c r="K101" s="4" t="str">
        <f>IF(AND(D101="",E101=""),"",IF(E101="",1,IFERROR(INDEX(상품·기준!$C$35:$C$38,MATCH(E101,상품·기준!$A$35:$A$38,0)),"단위 확인")))</f>
        <v/>
      </c>
      <c r="L101" s="4" t="str">
        <f t="shared" si="2"/>
        <v/>
      </c>
      <c r="M101" s="4" t="str">
        <f>IF(COUNTA(A101:J101)=0,"",IF(A101="","날짜 미입력",IF(NOT(ISNUMBER(A101)),"날짜 확인(날짜 형식이 아님)",IF(B101="","구분 미입력",IF(D101="","수량 미입력",IF(NOT(ISNUMBER(D101)),"수량 확인(숫자가 아님)",IF(AND(D101&lt;0,B101&lt;&gt;"조정"),"음수 수량(구분으로 방향 표시)",IF(NOT(ISNUMBER(K101)),"단위 확인",IF(AND(OR(B101="입고",B101="기초"),G101=""),"단가 미입력",IF(OR(A101&lt;상품·기준!$C$14,A101&gt;상품·기준!$C$15),"기간 밖",IF(AND(H101&lt;&gt;"아니오",C101&lt;&gt;"",COUNTIFS($C$7:$C$306,C101,$B$7:$B$306,B101,$F$7:$F$306,F101,$H$7:$H$306,"&lt;&gt;아니오")&gt;1),"중복 의심(같은 문서번호·구분·상태)","정상")))))))))))</f>
        <v/>
      </c>
      <c r="N101" s="15" t="str">
        <f t="shared" si="3"/>
        <v/>
      </c>
    </row>
    <row r="102" spans="1:14">
      <c r="A102" s="7"/>
      <c r="B102" s="3"/>
      <c r="C102" s="3"/>
      <c r="D102" s="3"/>
      <c r="E102" s="3"/>
      <c r="F102" s="3"/>
      <c r="G102" s="6"/>
      <c r="H102" s="3"/>
      <c r="I102" s="3"/>
      <c r="J102" s="3"/>
      <c r="K102" s="4" t="str">
        <f>IF(AND(D102="",E102=""),"",IF(E102="",1,IFERROR(INDEX(상품·기준!$C$35:$C$38,MATCH(E102,상품·기준!$A$35:$A$38,0)),"단위 확인")))</f>
        <v/>
      </c>
      <c r="L102" s="4" t="str">
        <f t="shared" si="2"/>
        <v/>
      </c>
      <c r="M102" s="4" t="str">
        <f>IF(COUNTA(A102:J102)=0,"",IF(A102="","날짜 미입력",IF(NOT(ISNUMBER(A102)),"날짜 확인(날짜 형식이 아님)",IF(B102="","구분 미입력",IF(D102="","수량 미입력",IF(NOT(ISNUMBER(D102)),"수량 확인(숫자가 아님)",IF(AND(D102&lt;0,B102&lt;&gt;"조정"),"음수 수량(구분으로 방향 표시)",IF(NOT(ISNUMBER(K102)),"단위 확인",IF(AND(OR(B102="입고",B102="기초"),G102=""),"단가 미입력",IF(OR(A102&lt;상품·기준!$C$14,A102&gt;상품·기준!$C$15),"기간 밖",IF(AND(H102&lt;&gt;"아니오",C102&lt;&gt;"",COUNTIFS($C$7:$C$306,C102,$B$7:$B$306,B102,$F$7:$F$306,F102,$H$7:$H$306,"&lt;&gt;아니오")&gt;1),"중복 의심(같은 문서번호·구분·상태)","정상")))))))))))</f>
        <v/>
      </c>
      <c r="N102" s="15" t="str">
        <f t="shared" si="3"/>
        <v/>
      </c>
    </row>
    <row r="103" spans="1:14">
      <c r="A103" s="7"/>
      <c r="B103" s="3"/>
      <c r="C103" s="3"/>
      <c r="D103" s="3"/>
      <c r="E103" s="3"/>
      <c r="F103" s="3"/>
      <c r="G103" s="6"/>
      <c r="H103" s="3"/>
      <c r="I103" s="3"/>
      <c r="J103" s="3"/>
      <c r="K103" s="4" t="str">
        <f>IF(AND(D103="",E103=""),"",IF(E103="",1,IFERROR(INDEX(상품·기준!$C$35:$C$38,MATCH(E103,상품·기준!$A$35:$A$38,0)),"단위 확인")))</f>
        <v/>
      </c>
      <c r="L103" s="4" t="str">
        <f t="shared" si="2"/>
        <v/>
      </c>
      <c r="M103" s="4" t="str">
        <f>IF(COUNTA(A103:J103)=0,"",IF(A103="","날짜 미입력",IF(NOT(ISNUMBER(A103)),"날짜 확인(날짜 형식이 아님)",IF(B103="","구분 미입력",IF(D103="","수량 미입력",IF(NOT(ISNUMBER(D103)),"수량 확인(숫자가 아님)",IF(AND(D103&lt;0,B103&lt;&gt;"조정"),"음수 수량(구분으로 방향 표시)",IF(NOT(ISNUMBER(K103)),"단위 확인",IF(AND(OR(B103="입고",B103="기초"),G103=""),"단가 미입력",IF(OR(A103&lt;상품·기준!$C$14,A103&gt;상품·기준!$C$15),"기간 밖",IF(AND(H103&lt;&gt;"아니오",C103&lt;&gt;"",COUNTIFS($C$7:$C$306,C103,$B$7:$B$306,B103,$F$7:$F$306,F103,$H$7:$H$306,"&lt;&gt;아니오")&gt;1),"중복 의심(같은 문서번호·구분·상태)","정상")))))))))))</f>
        <v/>
      </c>
      <c r="N103" s="15" t="str">
        <f t="shared" si="3"/>
        <v/>
      </c>
    </row>
    <row r="104" spans="1:14">
      <c r="A104" s="7"/>
      <c r="B104" s="3"/>
      <c r="C104" s="3"/>
      <c r="D104" s="3"/>
      <c r="E104" s="3"/>
      <c r="F104" s="3"/>
      <c r="G104" s="6"/>
      <c r="H104" s="3"/>
      <c r="I104" s="3"/>
      <c r="J104" s="3"/>
      <c r="K104" s="4" t="str">
        <f>IF(AND(D104="",E104=""),"",IF(E104="",1,IFERROR(INDEX(상품·기준!$C$35:$C$38,MATCH(E104,상품·기준!$A$35:$A$38,0)),"단위 확인")))</f>
        <v/>
      </c>
      <c r="L104" s="4" t="str">
        <f t="shared" si="2"/>
        <v/>
      </c>
      <c r="M104" s="4" t="str">
        <f>IF(COUNTA(A104:J104)=0,"",IF(A104="","날짜 미입력",IF(NOT(ISNUMBER(A104)),"날짜 확인(날짜 형식이 아님)",IF(B104="","구분 미입력",IF(D104="","수량 미입력",IF(NOT(ISNUMBER(D104)),"수량 확인(숫자가 아님)",IF(AND(D104&lt;0,B104&lt;&gt;"조정"),"음수 수량(구분으로 방향 표시)",IF(NOT(ISNUMBER(K104)),"단위 확인",IF(AND(OR(B104="입고",B104="기초"),G104=""),"단가 미입력",IF(OR(A104&lt;상품·기준!$C$14,A104&gt;상품·기준!$C$15),"기간 밖",IF(AND(H104&lt;&gt;"아니오",C104&lt;&gt;"",COUNTIFS($C$7:$C$306,C104,$B$7:$B$306,B104,$F$7:$F$306,F104,$H$7:$H$306,"&lt;&gt;아니오")&gt;1),"중복 의심(같은 문서번호·구분·상태)","정상")))))))))))</f>
        <v/>
      </c>
      <c r="N104" s="15" t="str">
        <f t="shared" si="3"/>
        <v/>
      </c>
    </row>
    <row r="105" spans="1:14">
      <c r="A105" s="7"/>
      <c r="B105" s="3"/>
      <c r="C105" s="3"/>
      <c r="D105" s="3"/>
      <c r="E105" s="3"/>
      <c r="F105" s="3"/>
      <c r="G105" s="6"/>
      <c r="H105" s="3"/>
      <c r="I105" s="3"/>
      <c r="J105" s="3"/>
      <c r="K105" s="4" t="str">
        <f>IF(AND(D105="",E105=""),"",IF(E105="",1,IFERROR(INDEX(상품·기준!$C$35:$C$38,MATCH(E105,상품·기준!$A$35:$A$38,0)),"단위 확인")))</f>
        <v/>
      </c>
      <c r="L105" s="4" t="str">
        <f t="shared" si="2"/>
        <v/>
      </c>
      <c r="M105" s="4" t="str">
        <f>IF(COUNTA(A105:J105)=0,"",IF(A105="","날짜 미입력",IF(NOT(ISNUMBER(A105)),"날짜 확인(날짜 형식이 아님)",IF(B105="","구분 미입력",IF(D105="","수량 미입력",IF(NOT(ISNUMBER(D105)),"수량 확인(숫자가 아님)",IF(AND(D105&lt;0,B105&lt;&gt;"조정"),"음수 수량(구분으로 방향 표시)",IF(NOT(ISNUMBER(K105)),"단위 확인",IF(AND(OR(B105="입고",B105="기초"),G105=""),"단가 미입력",IF(OR(A105&lt;상품·기준!$C$14,A105&gt;상품·기준!$C$15),"기간 밖",IF(AND(H105&lt;&gt;"아니오",C105&lt;&gt;"",COUNTIFS($C$7:$C$306,C105,$B$7:$B$306,B105,$F$7:$F$306,F105,$H$7:$H$306,"&lt;&gt;아니오")&gt;1),"중복 의심(같은 문서번호·구분·상태)","정상")))))))))))</f>
        <v/>
      </c>
      <c r="N105" s="15" t="str">
        <f t="shared" si="3"/>
        <v/>
      </c>
    </row>
    <row r="106" spans="1:14">
      <c r="A106" s="7"/>
      <c r="B106" s="3"/>
      <c r="C106" s="3"/>
      <c r="D106" s="3"/>
      <c r="E106" s="3"/>
      <c r="F106" s="3"/>
      <c r="G106" s="6"/>
      <c r="H106" s="3"/>
      <c r="I106" s="3"/>
      <c r="J106" s="3"/>
      <c r="K106" s="4" t="str">
        <f>IF(AND(D106="",E106=""),"",IF(E106="",1,IFERROR(INDEX(상품·기준!$C$35:$C$38,MATCH(E106,상품·기준!$A$35:$A$38,0)),"단위 확인")))</f>
        <v/>
      </c>
      <c r="L106" s="4" t="str">
        <f t="shared" si="2"/>
        <v/>
      </c>
      <c r="M106" s="4" t="str">
        <f>IF(COUNTA(A106:J106)=0,"",IF(A106="","날짜 미입력",IF(NOT(ISNUMBER(A106)),"날짜 확인(날짜 형식이 아님)",IF(B106="","구분 미입력",IF(D106="","수량 미입력",IF(NOT(ISNUMBER(D106)),"수량 확인(숫자가 아님)",IF(AND(D106&lt;0,B106&lt;&gt;"조정"),"음수 수량(구분으로 방향 표시)",IF(NOT(ISNUMBER(K106)),"단위 확인",IF(AND(OR(B106="입고",B106="기초"),G106=""),"단가 미입력",IF(OR(A106&lt;상품·기준!$C$14,A106&gt;상품·기준!$C$15),"기간 밖",IF(AND(H106&lt;&gt;"아니오",C106&lt;&gt;"",COUNTIFS($C$7:$C$306,C106,$B$7:$B$306,B106,$F$7:$F$306,F106,$H$7:$H$306,"&lt;&gt;아니오")&gt;1),"중복 의심(같은 문서번호·구분·상태)","정상")))))))))))</f>
        <v/>
      </c>
      <c r="N106" s="15" t="str">
        <f t="shared" si="3"/>
        <v/>
      </c>
    </row>
    <row r="107" spans="1:14">
      <c r="A107" s="7"/>
      <c r="B107" s="3"/>
      <c r="C107" s="3"/>
      <c r="D107" s="3"/>
      <c r="E107" s="3"/>
      <c r="F107" s="3"/>
      <c r="G107" s="6"/>
      <c r="H107" s="3"/>
      <c r="I107" s="3"/>
      <c r="J107" s="3"/>
      <c r="K107" s="4" t="str">
        <f>IF(AND(D107="",E107=""),"",IF(E107="",1,IFERROR(INDEX(상품·기준!$C$35:$C$38,MATCH(E107,상품·기준!$A$35:$A$38,0)),"단위 확인")))</f>
        <v/>
      </c>
      <c r="L107" s="4" t="str">
        <f t="shared" si="2"/>
        <v/>
      </c>
      <c r="M107" s="4" t="str">
        <f>IF(COUNTA(A107:J107)=0,"",IF(A107="","날짜 미입력",IF(NOT(ISNUMBER(A107)),"날짜 확인(날짜 형식이 아님)",IF(B107="","구분 미입력",IF(D107="","수량 미입력",IF(NOT(ISNUMBER(D107)),"수량 확인(숫자가 아님)",IF(AND(D107&lt;0,B107&lt;&gt;"조정"),"음수 수량(구분으로 방향 표시)",IF(NOT(ISNUMBER(K107)),"단위 확인",IF(AND(OR(B107="입고",B107="기초"),G107=""),"단가 미입력",IF(OR(A107&lt;상품·기준!$C$14,A107&gt;상품·기준!$C$15),"기간 밖",IF(AND(H107&lt;&gt;"아니오",C107&lt;&gt;"",COUNTIFS($C$7:$C$306,C107,$B$7:$B$306,B107,$F$7:$F$306,F107,$H$7:$H$306,"&lt;&gt;아니오")&gt;1),"중복 의심(같은 문서번호·구분·상태)","정상")))))))))))</f>
        <v/>
      </c>
      <c r="N107" s="15" t="str">
        <f t="shared" si="3"/>
        <v/>
      </c>
    </row>
    <row r="108" spans="1:14">
      <c r="A108" s="7"/>
      <c r="B108" s="3"/>
      <c r="C108" s="3"/>
      <c r="D108" s="3"/>
      <c r="E108" s="3"/>
      <c r="F108" s="3"/>
      <c r="G108" s="6"/>
      <c r="H108" s="3"/>
      <c r="I108" s="3"/>
      <c r="J108" s="3"/>
      <c r="K108" s="4" t="str">
        <f>IF(AND(D108="",E108=""),"",IF(E108="",1,IFERROR(INDEX(상품·기준!$C$35:$C$38,MATCH(E108,상품·기준!$A$35:$A$38,0)),"단위 확인")))</f>
        <v/>
      </c>
      <c r="L108" s="4" t="str">
        <f t="shared" si="2"/>
        <v/>
      </c>
      <c r="M108" s="4" t="str">
        <f>IF(COUNTA(A108:J108)=0,"",IF(A108="","날짜 미입력",IF(NOT(ISNUMBER(A108)),"날짜 확인(날짜 형식이 아님)",IF(B108="","구분 미입력",IF(D108="","수량 미입력",IF(NOT(ISNUMBER(D108)),"수량 확인(숫자가 아님)",IF(AND(D108&lt;0,B108&lt;&gt;"조정"),"음수 수량(구분으로 방향 표시)",IF(NOT(ISNUMBER(K108)),"단위 확인",IF(AND(OR(B108="입고",B108="기초"),G108=""),"단가 미입력",IF(OR(A108&lt;상품·기준!$C$14,A108&gt;상품·기준!$C$15),"기간 밖",IF(AND(H108&lt;&gt;"아니오",C108&lt;&gt;"",COUNTIFS($C$7:$C$306,C108,$B$7:$B$306,B108,$F$7:$F$306,F108,$H$7:$H$306,"&lt;&gt;아니오")&gt;1),"중복 의심(같은 문서번호·구분·상태)","정상")))))))))))</f>
        <v/>
      </c>
      <c r="N108" s="15" t="str">
        <f t="shared" si="3"/>
        <v/>
      </c>
    </row>
    <row r="109" spans="1:14">
      <c r="A109" s="7"/>
      <c r="B109" s="3"/>
      <c r="C109" s="3"/>
      <c r="D109" s="3"/>
      <c r="E109" s="3"/>
      <c r="F109" s="3"/>
      <c r="G109" s="6"/>
      <c r="H109" s="3"/>
      <c r="I109" s="3"/>
      <c r="J109" s="3"/>
      <c r="K109" s="4" t="str">
        <f>IF(AND(D109="",E109=""),"",IF(E109="",1,IFERROR(INDEX(상품·기준!$C$35:$C$38,MATCH(E109,상품·기준!$A$35:$A$38,0)),"단위 확인")))</f>
        <v/>
      </c>
      <c r="L109" s="4" t="str">
        <f t="shared" si="2"/>
        <v/>
      </c>
      <c r="M109" s="4" t="str">
        <f>IF(COUNTA(A109:J109)=0,"",IF(A109="","날짜 미입력",IF(NOT(ISNUMBER(A109)),"날짜 확인(날짜 형식이 아님)",IF(B109="","구분 미입력",IF(D109="","수량 미입력",IF(NOT(ISNUMBER(D109)),"수량 확인(숫자가 아님)",IF(AND(D109&lt;0,B109&lt;&gt;"조정"),"음수 수량(구분으로 방향 표시)",IF(NOT(ISNUMBER(K109)),"단위 확인",IF(AND(OR(B109="입고",B109="기초"),G109=""),"단가 미입력",IF(OR(A109&lt;상품·기준!$C$14,A109&gt;상품·기준!$C$15),"기간 밖",IF(AND(H109&lt;&gt;"아니오",C109&lt;&gt;"",COUNTIFS($C$7:$C$306,C109,$B$7:$B$306,B109,$F$7:$F$306,F109,$H$7:$H$306,"&lt;&gt;아니오")&gt;1),"중복 의심(같은 문서번호·구분·상태)","정상")))))))))))</f>
        <v/>
      </c>
      <c r="N109" s="15" t="str">
        <f t="shared" si="3"/>
        <v/>
      </c>
    </row>
    <row r="110" spans="1:14">
      <c r="A110" s="7"/>
      <c r="B110" s="3"/>
      <c r="C110" s="3"/>
      <c r="D110" s="3"/>
      <c r="E110" s="3"/>
      <c r="F110" s="3"/>
      <c r="G110" s="6"/>
      <c r="H110" s="3"/>
      <c r="I110" s="3"/>
      <c r="J110" s="3"/>
      <c r="K110" s="4" t="str">
        <f>IF(AND(D110="",E110=""),"",IF(E110="",1,IFERROR(INDEX(상품·기준!$C$35:$C$38,MATCH(E110,상품·기준!$A$35:$A$38,0)),"단위 확인")))</f>
        <v/>
      </c>
      <c r="L110" s="4" t="str">
        <f t="shared" si="2"/>
        <v/>
      </c>
      <c r="M110" s="4" t="str">
        <f>IF(COUNTA(A110:J110)=0,"",IF(A110="","날짜 미입력",IF(NOT(ISNUMBER(A110)),"날짜 확인(날짜 형식이 아님)",IF(B110="","구분 미입력",IF(D110="","수량 미입력",IF(NOT(ISNUMBER(D110)),"수량 확인(숫자가 아님)",IF(AND(D110&lt;0,B110&lt;&gt;"조정"),"음수 수량(구분으로 방향 표시)",IF(NOT(ISNUMBER(K110)),"단위 확인",IF(AND(OR(B110="입고",B110="기초"),G110=""),"단가 미입력",IF(OR(A110&lt;상품·기준!$C$14,A110&gt;상품·기준!$C$15),"기간 밖",IF(AND(H110&lt;&gt;"아니오",C110&lt;&gt;"",COUNTIFS($C$7:$C$306,C110,$B$7:$B$306,B110,$F$7:$F$306,F110,$H$7:$H$306,"&lt;&gt;아니오")&gt;1),"중복 의심(같은 문서번호·구분·상태)","정상")))))))))))</f>
        <v/>
      </c>
      <c r="N110" s="15" t="str">
        <f t="shared" si="3"/>
        <v/>
      </c>
    </row>
    <row r="111" spans="1:14">
      <c r="A111" s="7"/>
      <c r="B111" s="3"/>
      <c r="C111" s="3"/>
      <c r="D111" s="3"/>
      <c r="E111" s="3"/>
      <c r="F111" s="3"/>
      <c r="G111" s="6"/>
      <c r="H111" s="3"/>
      <c r="I111" s="3"/>
      <c r="J111" s="3"/>
      <c r="K111" s="4" t="str">
        <f>IF(AND(D111="",E111=""),"",IF(E111="",1,IFERROR(INDEX(상품·기준!$C$35:$C$38,MATCH(E111,상품·기준!$A$35:$A$38,0)),"단위 확인")))</f>
        <v/>
      </c>
      <c r="L111" s="4" t="str">
        <f t="shared" si="2"/>
        <v/>
      </c>
      <c r="M111" s="4" t="str">
        <f>IF(COUNTA(A111:J111)=0,"",IF(A111="","날짜 미입력",IF(NOT(ISNUMBER(A111)),"날짜 확인(날짜 형식이 아님)",IF(B111="","구분 미입력",IF(D111="","수량 미입력",IF(NOT(ISNUMBER(D111)),"수량 확인(숫자가 아님)",IF(AND(D111&lt;0,B111&lt;&gt;"조정"),"음수 수량(구분으로 방향 표시)",IF(NOT(ISNUMBER(K111)),"단위 확인",IF(AND(OR(B111="입고",B111="기초"),G111=""),"단가 미입력",IF(OR(A111&lt;상품·기준!$C$14,A111&gt;상품·기준!$C$15),"기간 밖",IF(AND(H111&lt;&gt;"아니오",C111&lt;&gt;"",COUNTIFS($C$7:$C$306,C111,$B$7:$B$306,B111,$F$7:$F$306,F111,$H$7:$H$306,"&lt;&gt;아니오")&gt;1),"중복 의심(같은 문서번호·구분·상태)","정상")))))))))))</f>
        <v/>
      </c>
      <c r="N111" s="15" t="str">
        <f t="shared" si="3"/>
        <v/>
      </c>
    </row>
    <row r="112" spans="1:14">
      <c r="A112" s="7"/>
      <c r="B112" s="3"/>
      <c r="C112" s="3"/>
      <c r="D112" s="3"/>
      <c r="E112" s="3"/>
      <c r="F112" s="3"/>
      <c r="G112" s="6"/>
      <c r="H112" s="3"/>
      <c r="I112" s="3"/>
      <c r="J112" s="3"/>
      <c r="K112" s="4" t="str">
        <f>IF(AND(D112="",E112=""),"",IF(E112="",1,IFERROR(INDEX(상품·기준!$C$35:$C$38,MATCH(E112,상품·기준!$A$35:$A$38,0)),"단위 확인")))</f>
        <v/>
      </c>
      <c r="L112" s="4" t="str">
        <f t="shared" si="2"/>
        <v/>
      </c>
      <c r="M112" s="4" t="str">
        <f>IF(COUNTA(A112:J112)=0,"",IF(A112="","날짜 미입력",IF(NOT(ISNUMBER(A112)),"날짜 확인(날짜 형식이 아님)",IF(B112="","구분 미입력",IF(D112="","수량 미입력",IF(NOT(ISNUMBER(D112)),"수량 확인(숫자가 아님)",IF(AND(D112&lt;0,B112&lt;&gt;"조정"),"음수 수량(구분으로 방향 표시)",IF(NOT(ISNUMBER(K112)),"단위 확인",IF(AND(OR(B112="입고",B112="기초"),G112=""),"단가 미입력",IF(OR(A112&lt;상품·기준!$C$14,A112&gt;상품·기준!$C$15),"기간 밖",IF(AND(H112&lt;&gt;"아니오",C112&lt;&gt;"",COUNTIFS($C$7:$C$306,C112,$B$7:$B$306,B112,$F$7:$F$306,F112,$H$7:$H$306,"&lt;&gt;아니오")&gt;1),"중복 의심(같은 문서번호·구분·상태)","정상")))))))))))</f>
        <v/>
      </c>
      <c r="N112" s="15" t="str">
        <f t="shared" si="3"/>
        <v/>
      </c>
    </row>
    <row r="113" spans="1:14">
      <c r="A113" s="7"/>
      <c r="B113" s="3"/>
      <c r="C113" s="3"/>
      <c r="D113" s="3"/>
      <c r="E113" s="3"/>
      <c r="F113" s="3"/>
      <c r="G113" s="6"/>
      <c r="H113" s="3"/>
      <c r="I113" s="3"/>
      <c r="J113" s="3"/>
      <c r="K113" s="4" t="str">
        <f>IF(AND(D113="",E113=""),"",IF(E113="",1,IFERROR(INDEX(상품·기준!$C$35:$C$38,MATCH(E113,상품·기준!$A$35:$A$38,0)),"단위 확인")))</f>
        <v/>
      </c>
      <c r="L113" s="4" t="str">
        <f t="shared" si="2"/>
        <v/>
      </c>
      <c r="M113" s="4" t="str">
        <f>IF(COUNTA(A113:J113)=0,"",IF(A113="","날짜 미입력",IF(NOT(ISNUMBER(A113)),"날짜 확인(날짜 형식이 아님)",IF(B113="","구분 미입력",IF(D113="","수량 미입력",IF(NOT(ISNUMBER(D113)),"수량 확인(숫자가 아님)",IF(AND(D113&lt;0,B113&lt;&gt;"조정"),"음수 수량(구분으로 방향 표시)",IF(NOT(ISNUMBER(K113)),"단위 확인",IF(AND(OR(B113="입고",B113="기초"),G113=""),"단가 미입력",IF(OR(A113&lt;상품·기준!$C$14,A113&gt;상품·기준!$C$15),"기간 밖",IF(AND(H113&lt;&gt;"아니오",C113&lt;&gt;"",COUNTIFS($C$7:$C$306,C113,$B$7:$B$306,B113,$F$7:$F$306,F113,$H$7:$H$306,"&lt;&gt;아니오")&gt;1),"중복 의심(같은 문서번호·구분·상태)","정상")))))))))))</f>
        <v/>
      </c>
      <c r="N113" s="15" t="str">
        <f t="shared" si="3"/>
        <v/>
      </c>
    </row>
    <row r="114" spans="1:14">
      <c r="A114" s="7"/>
      <c r="B114" s="3"/>
      <c r="C114" s="3"/>
      <c r="D114" s="3"/>
      <c r="E114" s="3"/>
      <c r="F114" s="3"/>
      <c r="G114" s="6"/>
      <c r="H114" s="3"/>
      <c r="I114" s="3"/>
      <c r="J114" s="3"/>
      <c r="K114" s="4" t="str">
        <f>IF(AND(D114="",E114=""),"",IF(E114="",1,IFERROR(INDEX(상품·기준!$C$35:$C$38,MATCH(E114,상품·기준!$A$35:$A$38,0)),"단위 확인")))</f>
        <v/>
      </c>
      <c r="L114" s="4" t="str">
        <f t="shared" si="2"/>
        <v/>
      </c>
      <c r="M114" s="4" t="str">
        <f>IF(COUNTA(A114:J114)=0,"",IF(A114="","날짜 미입력",IF(NOT(ISNUMBER(A114)),"날짜 확인(날짜 형식이 아님)",IF(B114="","구분 미입력",IF(D114="","수량 미입력",IF(NOT(ISNUMBER(D114)),"수량 확인(숫자가 아님)",IF(AND(D114&lt;0,B114&lt;&gt;"조정"),"음수 수량(구분으로 방향 표시)",IF(NOT(ISNUMBER(K114)),"단위 확인",IF(AND(OR(B114="입고",B114="기초"),G114=""),"단가 미입력",IF(OR(A114&lt;상품·기준!$C$14,A114&gt;상품·기준!$C$15),"기간 밖",IF(AND(H114&lt;&gt;"아니오",C114&lt;&gt;"",COUNTIFS($C$7:$C$306,C114,$B$7:$B$306,B114,$F$7:$F$306,F114,$H$7:$H$306,"&lt;&gt;아니오")&gt;1),"중복 의심(같은 문서번호·구분·상태)","정상")))))))))))</f>
        <v/>
      </c>
      <c r="N114" s="15" t="str">
        <f t="shared" si="3"/>
        <v/>
      </c>
    </row>
    <row r="115" spans="1:14">
      <c r="A115" s="7"/>
      <c r="B115" s="3"/>
      <c r="C115" s="3"/>
      <c r="D115" s="3"/>
      <c r="E115" s="3"/>
      <c r="F115" s="3"/>
      <c r="G115" s="6"/>
      <c r="H115" s="3"/>
      <c r="I115" s="3"/>
      <c r="J115" s="3"/>
      <c r="K115" s="4" t="str">
        <f>IF(AND(D115="",E115=""),"",IF(E115="",1,IFERROR(INDEX(상품·기준!$C$35:$C$38,MATCH(E115,상품·기준!$A$35:$A$38,0)),"단위 확인")))</f>
        <v/>
      </c>
      <c r="L115" s="4" t="str">
        <f t="shared" si="2"/>
        <v/>
      </c>
      <c r="M115" s="4" t="str">
        <f>IF(COUNTA(A115:J115)=0,"",IF(A115="","날짜 미입력",IF(NOT(ISNUMBER(A115)),"날짜 확인(날짜 형식이 아님)",IF(B115="","구분 미입력",IF(D115="","수량 미입력",IF(NOT(ISNUMBER(D115)),"수량 확인(숫자가 아님)",IF(AND(D115&lt;0,B115&lt;&gt;"조정"),"음수 수량(구분으로 방향 표시)",IF(NOT(ISNUMBER(K115)),"단위 확인",IF(AND(OR(B115="입고",B115="기초"),G115=""),"단가 미입력",IF(OR(A115&lt;상품·기준!$C$14,A115&gt;상품·기준!$C$15),"기간 밖",IF(AND(H115&lt;&gt;"아니오",C115&lt;&gt;"",COUNTIFS($C$7:$C$306,C115,$B$7:$B$306,B115,$F$7:$F$306,F115,$H$7:$H$306,"&lt;&gt;아니오")&gt;1),"중복 의심(같은 문서번호·구분·상태)","정상")))))))))))</f>
        <v/>
      </c>
      <c r="N115" s="15" t="str">
        <f t="shared" si="3"/>
        <v/>
      </c>
    </row>
    <row r="116" spans="1:14">
      <c r="A116" s="7"/>
      <c r="B116" s="3"/>
      <c r="C116" s="3"/>
      <c r="D116" s="3"/>
      <c r="E116" s="3"/>
      <c r="F116" s="3"/>
      <c r="G116" s="6"/>
      <c r="H116" s="3"/>
      <c r="I116" s="3"/>
      <c r="J116" s="3"/>
      <c r="K116" s="4" t="str">
        <f>IF(AND(D116="",E116=""),"",IF(E116="",1,IFERROR(INDEX(상품·기준!$C$35:$C$38,MATCH(E116,상품·기준!$A$35:$A$38,0)),"단위 확인")))</f>
        <v/>
      </c>
      <c r="L116" s="4" t="str">
        <f t="shared" si="2"/>
        <v/>
      </c>
      <c r="M116" s="4" t="str">
        <f>IF(COUNTA(A116:J116)=0,"",IF(A116="","날짜 미입력",IF(NOT(ISNUMBER(A116)),"날짜 확인(날짜 형식이 아님)",IF(B116="","구분 미입력",IF(D116="","수량 미입력",IF(NOT(ISNUMBER(D116)),"수량 확인(숫자가 아님)",IF(AND(D116&lt;0,B116&lt;&gt;"조정"),"음수 수량(구분으로 방향 표시)",IF(NOT(ISNUMBER(K116)),"단위 확인",IF(AND(OR(B116="입고",B116="기초"),G116=""),"단가 미입력",IF(OR(A116&lt;상품·기준!$C$14,A116&gt;상품·기준!$C$15),"기간 밖",IF(AND(H116&lt;&gt;"아니오",C116&lt;&gt;"",COUNTIFS($C$7:$C$306,C116,$B$7:$B$306,B116,$F$7:$F$306,F116,$H$7:$H$306,"&lt;&gt;아니오")&gt;1),"중복 의심(같은 문서번호·구분·상태)","정상")))))))))))</f>
        <v/>
      </c>
      <c r="N116" s="15" t="str">
        <f t="shared" si="3"/>
        <v/>
      </c>
    </row>
    <row r="117" spans="1:14">
      <c r="A117" s="7"/>
      <c r="B117" s="3"/>
      <c r="C117" s="3"/>
      <c r="D117" s="3"/>
      <c r="E117" s="3"/>
      <c r="F117" s="3"/>
      <c r="G117" s="6"/>
      <c r="H117" s="3"/>
      <c r="I117" s="3"/>
      <c r="J117" s="3"/>
      <c r="K117" s="4" t="str">
        <f>IF(AND(D117="",E117=""),"",IF(E117="",1,IFERROR(INDEX(상품·기준!$C$35:$C$38,MATCH(E117,상품·기준!$A$35:$A$38,0)),"단위 확인")))</f>
        <v/>
      </c>
      <c r="L117" s="4" t="str">
        <f t="shared" si="2"/>
        <v/>
      </c>
      <c r="M117" s="4" t="str">
        <f>IF(COUNTA(A117:J117)=0,"",IF(A117="","날짜 미입력",IF(NOT(ISNUMBER(A117)),"날짜 확인(날짜 형식이 아님)",IF(B117="","구분 미입력",IF(D117="","수량 미입력",IF(NOT(ISNUMBER(D117)),"수량 확인(숫자가 아님)",IF(AND(D117&lt;0,B117&lt;&gt;"조정"),"음수 수량(구분으로 방향 표시)",IF(NOT(ISNUMBER(K117)),"단위 확인",IF(AND(OR(B117="입고",B117="기초"),G117=""),"단가 미입력",IF(OR(A117&lt;상품·기준!$C$14,A117&gt;상품·기준!$C$15),"기간 밖",IF(AND(H117&lt;&gt;"아니오",C117&lt;&gt;"",COUNTIFS($C$7:$C$306,C117,$B$7:$B$306,B117,$F$7:$F$306,F117,$H$7:$H$306,"&lt;&gt;아니오")&gt;1),"중복 의심(같은 문서번호·구분·상태)","정상")))))))))))</f>
        <v/>
      </c>
      <c r="N117" s="15" t="str">
        <f t="shared" si="3"/>
        <v/>
      </c>
    </row>
    <row r="118" spans="1:14">
      <c r="A118" s="7"/>
      <c r="B118" s="3"/>
      <c r="C118" s="3"/>
      <c r="D118" s="3"/>
      <c r="E118" s="3"/>
      <c r="F118" s="3"/>
      <c r="G118" s="6"/>
      <c r="H118" s="3"/>
      <c r="I118" s="3"/>
      <c r="J118" s="3"/>
      <c r="K118" s="4" t="str">
        <f>IF(AND(D118="",E118=""),"",IF(E118="",1,IFERROR(INDEX(상품·기준!$C$35:$C$38,MATCH(E118,상품·기준!$A$35:$A$38,0)),"단위 확인")))</f>
        <v/>
      </c>
      <c r="L118" s="4" t="str">
        <f t="shared" si="2"/>
        <v/>
      </c>
      <c r="M118" s="4" t="str">
        <f>IF(COUNTA(A118:J118)=0,"",IF(A118="","날짜 미입력",IF(NOT(ISNUMBER(A118)),"날짜 확인(날짜 형식이 아님)",IF(B118="","구분 미입력",IF(D118="","수량 미입력",IF(NOT(ISNUMBER(D118)),"수량 확인(숫자가 아님)",IF(AND(D118&lt;0,B118&lt;&gt;"조정"),"음수 수량(구분으로 방향 표시)",IF(NOT(ISNUMBER(K118)),"단위 확인",IF(AND(OR(B118="입고",B118="기초"),G118=""),"단가 미입력",IF(OR(A118&lt;상품·기준!$C$14,A118&gt;상품·기준!$C$15),"기간 밖",IF(AND(H118&lt;&gt;"아니오",C118&lt;&gt;"",COUNTIFS($C$7:$C$306,C118,$B$7:$B$306,B118,$F$7:$F$306,F118,$H$7:$H$306,"&lt;&gt;아니오")&gt;1),"중복 의심(같은 문서번호·구분·상태)","정상")))))))))))</f>
        <v/>
      </c>
      <c r="N118" s="15" t="str">
        <f t="shared" si="3"/>
        <v/>
      </c>
    </row>
    <row r="119" spans="1:14">
      <c r="A119" s="7"/>
      <c r="B119" s="3"/>
      <c r="C119" s="3"/>
      <c r="D119" s="3"/>
      <c r="E119" s="3"/>
      <c r="F119" s="3"/>
      <c r="G119" s="6"/>
      <c r="H119" s="3"/>
      <c r="I119" s="3"/>
      <c r="J119" s="3"/>
      <c r="K119" s="4" t="str">
        <f>IF(AND(D119="",E119=""),"",IF(E119="",1,IFERROR(INDEX(상품·기준!$C$35:$C$38,MATCH(E119,상품·기준!$A$35:$A$38,0)),"단위 확인")))</f>
        <v/>
      </c>
      <c r="L119" s="4" t="str">
        <f t="shared" si="2"/>
        <v/>
      </c>
      <c r="M119" s="4" t="str">
        <f>IF(COUNTA(A119:J119)=0,"",IF(A119="","날짜 미입력",IF(NOT(ISNUMBER(A119)),"날짜 확인(날짜 형식이 아님)",IF(B119="","구분 미입력",IF(D119="","수량 미입력",IF(NOT(ISNUMBER(D119)),"수량 확인(숫자가 아님)",IF(AND(D119&lt;0,B119&lt;&gt;"조정"),"음수 수량(구분으로 방향 표시)",IF(NOT(ISNUMBER(K119)),"단위 확인",IF(AND(OR(B119="입고",B119="기초"),G119=""),"단가 미입력",IF(OR(A119&lt;상품·기준!$C$14,A119&gt;상품·기준!$C$15),"기간 밖",IF(AND(H119&lt;&gt;"아니오",C119&lt;&gt;"",COUNTIFS($C$7:$C$306,C119,$B$7:$B$306,B119,$F$7:$F$306,F119,$H$7:$H$306,"&lt;&gt;아니오")&gt;1),"중복 의심(같은 문서번호·구분·상태)","정상")))))))))))</f>
        <v/>
      </c>
      <c r="N119" s="15" t="str">
        <f t="shared" si="3"/>
        <v/>
      </c>
    </row>
    <row r="120" spans="1:14">
      <c r="A120" s="7"/>
      <c r="B120" s="3"/>
      <c r="C120" s="3"/>
      <c r="D120" s="3"/>
      <c r="E120" s="3"/>
      <c r="F120" s="3"/>
      <c r="G120" s="6"/>
      <c r="H120" s="3"/>
      <c r="I120" s="3"/>
      <c r="J120" s="3"/>
      <c r="K120" s="4" t="str">
        <f>IF(AND(D120="",E120=""),"",IF(E120="",1,IFERROR(INDEX(상품·기준!$C$35:$C$38,MATCH(E120,상품·기준!$A$35:$A$38,0)),"단위 확인")))</f>
        <v/>
      </c>
      <c r="L120" s="4" t="str">
        <f t="shared" si="2"/>
        <v/>
      </c>
      <c r="M120" s="4" t="str">
        <f>IF(COUNTA(A120:J120)=0,"",IF(A120="","날짜 미입력",IF(NOT(ISNUMBER(A120)),"날짜 확인(날짜 형식이 아님)",IF(B120="","구분 미입력",IF(D120="","수량 미입력",IF(NOT(ISNUMBER(D120)),"수량 확인(숫자가 아님)",IF(AND(D120&lt;0,B120&lt;&gt;"조정"),"음수 수량(구분으로 방향 표시)",IF(NOT(ISNUMBER(K120)),"단위 확인",IF(AND(OR(B120="입고",B120="기초"),G120=""),"단가 미입력",IF(OR(A120&lt;상품·기준!$C$14,A120&gt;상품·기준!$C$15),"기간 밖",IF(AND(H120&lt;&gt;"아니오",C120&lt;&gt;"",COUNTIFS($C$7:$C$306,C120,$B$7:$B$306,B120,$F$7:$F$306,F120,$H$7:$H$306,"&lt;&gt;아니오")&gt;1),"중복 의심(같은 문서번호·구분·상태)","정상")))))))))))</f>
        <v/>
      </c>
      <c r="N120" s="15" t="str">
        <f t="shared" si="3"/>
        <v/>
      </c>
    </row>
    <row r="121" spans="1:14">
      <c r="A121" s="7"/>
      <c r="B121" s="3"/>
      <c r="C121" s="3"/>
      <c r="D121" s="3"/>
      <c r="E121" s="3"/>
      <c r="F121" s="3"/>
      <c r="G121" s="6"/>
      <c r="H121" s="3"/>
      <c r="I121" s="3"/>
      <c r="J121" s="3"/>
      <c r="K121" s="4" t="str">
        <f>IF(AND(D121="",E121=""),"",IF(E121="",1,IFERROR(INDEX(상품·기준!$C$35:$C$38,MATCH(E121,상품·기준!$A$35:$A$38,0)),"단위 확인")))</f>
        <v/>
      </c>
      <c r="L121" s="4" t="str">
        <f t="shared" si="2"/>
        <v/>
      </c>
      <c r="M121" s="4" t="str">
        <f>IF(COUNTA(A121:J121)=0,"",IF(A121="","날짜 미입력",IF(NOT(ISNUMBER(A121)),"날짜 확인(날짜 형식이 아님)",IF(B121="","구분 미입력",IF(D121="","수량 미입력",IF(NOT(ISNUMBER(D121)),"수량 확인(숫자가 아님)",IF(AND(D121&lt;0,B121&lt;&gt;"조정"),"음수 수량(구분으로 방향 표시)",IF(NOT(ISNUMBER(K121)),"단위 확인",IF(AND(OR(B121="입고",B121="기초"),G121=""),"단가 미입력",IF(OR(A121&lt;상품·기준!$C$14,A121&gt;상품·기준!$C$15),"기간 밖",IF(AND(H121&lt;&gt;"아니오",C121&lt;&gt;"",COUNTIFS($C$7:$C$306,C121,$B$7:$B$306,B121,$F$7:$F$306,F121,$H$7:$H$306,"&lt;&gt;아니오")&gt;1),"중복 의심(같은 문서번호·구분·상태)","정상")))))))))))</f>
        <v/>
      </c>
      <c r="N121" s="15" t="str">
        <f t="shared" si="3"/>
        <v/>
      </c>
    </row>
    <row r="122" spans="1:14">
      <c r="A122" s="7"/>
      <c r="B122" s="3"/>
      <c r="C122" s="3"/>
      <c r="D122" s="3"/>
      <c r="E122" s="3"/>
      <c r="F122" s="3"/>
      <c r="G122" s="6"/>
      <c r="H122" s="3"/>
      <c r="I122" s="3"/>
      <c r="J122" s="3"/>
      <c r="K122" s="4" t="str">
        <f>IF(AND(D122="",E122=""),"",IF(E122="",1,IFERROR(INDEX(상품·기준!$C$35:$C$38,MATCH(E122,상품·기준!$A$35:$A$38,0)),"단위 확인")))</f>
        <v/>
      </c>
      <c r="L122" s="4" t="str">
        <f t="shared" si="2"/>
        <v/>
      </c>
      <c r="M122" s="4" t="str">
        <f>IF(COUNTA(A122:J122)=0,"",IF(A122="","날짜 미입력",IF(NOT(ISNUMBER(A122)),"날짜 확인(날짜 형식이 아님)",IF(B122="","구분 미입력",IF(D122="","수량 미입력",IF(NOT(ISNUMBER(D122)),"수량 확인(숫자가 아님)",IF(AND(D122&lt;0,B122&lt;&gt;"조정"),"음수 수량(구분으로 방향 표시)",IF(NOT(ISNUMBER(K122)),"단위 확인",IF(AND(OR(B122="입고",B122="기초"),G122=""),"단가 미입력",IF(OR(A122&lt;상품·기준!$C$14,A122&gt;상품·기준!$C$15),"기간 밖",IF(AND(H122&lt;&gt;"아니오",C122&lt;&gt;"",COUNTIFS($C$7:$C$306,C122,$B$7:$B$306,B122,$F$7:$F$306,F122,$H$7:$H$306,"&lt;&gt;아니오")&gt;1),"중복 의심(같은 문서번호·구분·상태)","정상")))))))))))</f>
        <v/>
      </c>
      <c r="N122" s="15" t="str">
        <f t="shared" si="3"/>
        <v/>
      </c>
    </row>
    <row r="123" spans="1:14">
      <c r="A123" s="7"/>
      <c r="B123" s="3"/>
      <c r="C123" s="3"/>
      <c r="D123" s="3"/>
      <c r="E123" s="3"/>
      <c r="F123" s="3"/>
      <c r="G123" s="6"/>
      <c r="H123" s="3"/>
      <c r="I123" s="3"/>
      <c r="J123" s="3"/>
      <c r="K123" s="4" t="str">
        <f>IF(AND(D123="",E123=""),"",IF(E123="",1,IFERROR(INDEX(상품·기준!$C$35:$C$38,MATCH(E123,상품·기준!$A$35:$A$38,0)),"단위 확인")))</f>
        <v/>
      </c>
      <c r="L123" s="4" t="str">
        <f t="shared" si="2"/>
        <v/>
      </c>
      <c r="M123" s="4" t="str">
        <f>IF(COUNTA(A123:J123)=0,"",IF(A123="","날짜 미입력",IF(NOT(ISNUMBER(A123)),"날짜 확인(날짜 형식이 아님)",IF(B123="","구분 미입력",IF(D123="","수량 미입력",IF(NOT(ISNUMBER(D123)),"수량 확인(숫자가 아님)",IF(AND(D123&lt;0,B123&lt;&gt;"조정"),"음수 수량(구분으로 방향 표시)",IF(NOT(ISNUMBER(K123)),"단위 확인",IF(AND(OR(B123="입고",B123="기초"),G123=""),"단가 미입력",IF(OR(A123&lt;상품·기준!$C$14,A123&gt;상품·기준!$C$15),"기간 밖",IF(AND(H123&lt;&gt;"아니오",C123&lt;&gt;"",COUNTIFS($C$7:$C$306,C123,$B$7:$B$306,B123,$F$7:$F$306,F123,$H$7:$H$306,"&lt;&gt;아니오")&gt;1),"중복 의심(같은 문서번호·구분·상태)","정상")))))))))))</f>
        <v/>
      </c>
      <c r="N123" s="15" t="str">
        <f t="shared" si="3"/>
        <v/>
      </c>
    </row>
    <row r="124" spans="1:14">
      <c r="A124" s="7"/>
      <c r="B124" s="3"/>
      <c r="C124" s="3"/>
      <c r="D124" s="3"/>
      <c r="E124" s="3"/>
      <c r="F124" s="3"/>
      <c r="G124" s="6"/>
      <c r="H124" s="3"/>
      <c r="I124" s="3"/>
      <c r="J124" s="3"/>
      <c r="K124" s="4" t="str">
        <f>IF(AND(D124="",E124=""),"",IF(E124="",1,IFERROR(INDEX(상품·기준!$C$35:$C$38,MATCH(E124,상품·기준!$A$35:$A$38,0)),"단위 확인")))</f>
        <v/>
      </c>
      <c r="L124" s="4" t="str">
        <f t="shared" si="2"/>
        <v/>
      </c>
      <c r="M124" s="4" t="str">
        <f>IF(COUNTA(A124:J124)=0,"",IF(A124="","날짜 미입력",IF(NOT(ISNUMBER(A124)),"날짜 확인(날짜 형식이 아님)",IF(B124="","구분 미입력",IF(D124="","수량 미입력",IF(NOT(ISNUMBER(D124)),"수량 확인(숫자가 아님)",IF(AND(D124&lt;0,B124&lt;&gt;"조정"),"음수 수량(구분으로 방향 표시)",IF(NOT(ISNUMBER(K124)),"단위 확인",IF(AND(OR(B124="입고",B124="기초"),G124=""),"단가 미입력",IF(OR(A124&lt;상품·기준!$C$14,A124&gt;상품·기준!$C$15),"기간 밖",IF(AND(H124&lt;&gt;"아니오",C124&lt;&gt;"",COUNTIFS($C$7:$C$306,C124,$B$7:$B$306,B124,$F$7:$F$306,F124,$H$7:$H$306,"&lt;&gt;아니오")&gt;1),"중복 의심(같은 문서번호·구분·상태)","정상")))))))))))</f>
        <v/>
      </c>
      <c r="N124" s="15" t="str">
        <f t="shared" si="3"/>
        <v/>
      </c>
    </row>
    <row r="125" spans="1:14">
      <c r="A125" s="7"/>
      <c r="B125" s="3"/>
      <c r="C125" s="3"/>
      <c r="D125" s="3"/>
      <c r="E125" s="3"/>
      <c r="F125" s="3"/>
      <c r="G125" s="6"/>
      <c r="H125" s="3"/>
      <c r="I125" s="3"/>
      <c r="J125" s="3"/>
      <c r="K125" s="4" t="str">
        <f>IF(AND(D125="",E125=""),"",IF(E125="",1,IFERROR(INDEX(상품·기준!$C$35:$C$38,MATCH(E125,상품·기준!$A$35:$A$38,0)),"단위 확인")))</f>
        <v/>
      </c>
      <c r="L125" s="4" t="str">
        <f t="shared" si="2"/>
        <v/>
      </c>
      <c r="M125" s="4" t="str">
        <f>IF(COUNTA(A125:J125)=0,"",IF(A125="","날짜 미입력",IF(NOT(ISNUMBER(A125)),"날짜 확인(날짜 형식이 아님)",IF(B125="","구분 미입력",IF(D125="","수량 미입력",IF(NOT(ISNUMBER(D125)),"수량 확인(숫자가 아님)",IF(AND(D125&lt;0,B125&lt;&gt;"조정"),"음수 수량(구분으로 방향 표시)",IF(NOT(ISNUMBER(K125)),"단위 확인",IF(AND(OR(B125="입고",B125="기초"),G125=""),"단가 미입력",IF(OR(A125&lt;상품·기준!$C$14,A125&gt;상품·기준!$C$15),"기간 밖",IF(AND(H125&lt;&gt;"아니오",C125&lt;&gt;"",COUNTIFS($C$7:$C$306,C125,$B$7:$B$306,B125,$F$7:$F$306,F125,$H$7:$H$306,"&lt;&gt;아니오")&gt;1),"중복 의심(같은 문서번호·구분·상태)","정상")))))))))))</f>
        <v/>
      </c>
      <c r="N125" s="15" t="str">
        <f t="shared" si="3"/>
        <v/>
      </c>
    </row>
    <row r="126" spans="1:14">
      <c r="A126" s="7"/>
      <c r="B126" s="3"/>
      <c r="C126" s="3"/>
      <c r="D126" s="3"/>
      <c r="E126" s="3"/>
      <c r="F126" s="3"/>
      <c r="G126" s="6"/>
      <c r="H126" s="3"/>
      <c r="I126" s="3"/>
      <c r="J126" s="3"/>
      <c r="K126" s="4" t="str">
        <f>IF(AND(D126="",E126=""),"",IF(E126="",1,IFERROR(INDEX(상품·기준!$C$35:$C$38,MATCH(E126,상품·기준!$A$35:$A$38,0)),"단위 확인")))</f>
        <v/>
      </c>
      <c r="L126" s="4" t="str">
        <f t="shared" si="2"/>
        <v/>
      </c>
      <c r="M126" s="4" t="str">
        <f>IF(COUNTA(A126:J126)=0,"",IF(A126="","날짜 미입력",IF(NOT(ISNUMBER(A126)),"날짜 확인(날짜 형식이 아님)",IF(B126="","구분 미입력",IF(D126="","수량 미입력",IF(NOT(ISNUMBER(D126)),"수량 확인(숫자가 아님)",IF(AND(D126&lt;0,B126&lt;&gt;"조정"),"음수 수량(구분으로 방향 표시)",IF(NOT(ISNUMBER(K126)),"단위 확인",IF(AND(OR(B126="입고",B126="기초"),G126=""),"단가 미입력",IF(OR(A126&lt;상품·기준!$C$14,A126&gt;상품·기준!$C$15),"기간 밖",IF(AND(H126&lt;&gt;"아니오",C126&lt;&gt;"",COUNTIFS($C$7:$C$306,C126,$B$7:$B$306,B126,$F$7:$F$306,F126,$H$7:$H$306,"&lt;&gt;아니오")&gt;1),"중복 의심(같은 문서번호·구분·상태)","정상")))))))))))</f>
        <v/>
      </c>
      <c r="N126" s="15" t="str">
        <f t="shared" si="3"/>
        <v/>
      </c>
    </row>
    <row r="127" spans="1:14">
      <c r="A127" s="7"/>
      <c r="B127" s="3"/>
      <c r="C127" s="3"/>
      <c r="D127" s="3"/>
      <c r="E127" s="3"/>
      <c r="F127" s="3"/>
      <c r="G127" s="6"/>
      <c r="H127" s="3"/>
      <c r="I127" s="3"/>
      <c r="J127" s="3"/>
      <c r="K127" s="4" t="str">
        <f>IF(AND(D127="",E127=""),"",IF(E127="",1,IFERROR(INDEX(상품·기준!$C$35:$C$38,MATCH(E127,상품·기준!$A$35:$A$38,0)),"단위 확인")))</f>
        <v/>
      </c>
      <c r="L127" s="4" t="str">
        <f t="shared" si="2"/>
        <v/>
      </c>
      <c r="M127" s="4" t="str">
        <f>IF(COUNTA(A127:J127)=0,"",IF(A127="","날짜 미입력",IF(NOT(ISNUMBER(A127)),"날짜 확인(날짜 형식이 아님)",IF(B127="","구분 미입력",IF(D127="","수량 미입력",IF(NOT(ISNUMBER(D127)),"수량 확인(숫자가 아님)",IF(AND(D127&lt;0,B127&lt;&gt;"조정"),"음수 수량(구분으로 방향 표시)",IF(NOT(ISNUMBER(K127)),"단위 확인",IF(AND(OR(B127="입고",B127="기초"),G127=""),"단가 미입력",IF(OR(A127&lt;상품·기준!$C$14,A127&gt;상품·기준!$C$15),"기간 밖",IF(AND(H127&lt;&gt;"아니오",C127&lt;&gt;"",COUNTIFS($C$7:$C$306,C127,$B$7:$B$306,B127,$F$7:$F$306,F127,$H$7:$H$306,"&lt;&gt;아니오")&gt;1),"중복 의심(같은 문서번호·구분·상태)","정상")))))))))))</f>
        <v/>
      </c>
      <c r="N127" s="15" t="str">
        <f t="shared" si="3"/>
        <v/>
      </c>
    </row>
    <row r="128" spans="1:14">
      <c r="A128" s="7"/>
      <c r="B128" s="3"/>
      <c r="C128" s="3"/>
      <c r="D128" s="3"/>
      <c r="E128" s="3"/>
      <c r="F128" s="3"/>
      <c r="G128" s="6"/>
      <c r="H128" s="3"/>
      <c r="I128" s="3"/>
      <c r="J128" s="3"/>
      <c r="K128" s="4" t="str">
        <f>IF(AND(D128="",E128=""),"",IF(E128="",1,IFERROR(INDEX(상품·기준!$C$35:$C$38,MATCH(E128,상품·기준!$A$35:$A$38,0)),"단위 확인")))</f>
        <v/>
      </c>
      <c r="L128" s="4" t="str">
        <f t="shared" si="2"/>
        <v/>
      </c>
      <c r="M128" s="4" t="str">
        <f>IF(COUNTA(A128:J128)=0,"",IF(A128="","날짜 미입력",IF(NOT(ISNUMBER(A128)),"날짜 확인(날짜 형식이 아님)",IF(B128="","구분 미입력",IF(D128="","수량 미입력",IF(NOT(ISNUMBER(D128)),"수량 확인(숫자가 아님)",IF(AND(D128&lt;0,B128&lt;&gt;"조정"),"음수 수량(구분으로 방향 표시)",IF(NOT(ISNUMBER(K128)),"단위 확인",IF(AND(OR(B128="입고",B128="기초"),G128=""),"단가 미입력",IF(OR(A128&lt;상품·기준!$C$14,A128&gt;상품·기준!$C$15),"기간 밖",IF(AND(H128&lt;&gt;"아니오",C128&lt;&gt;"",COUNTIFS($C$7:$C$306,C128,$B$7:$B$306,B128,$F$7:$F$306,F128,$H$7:$H$306,"&lt;&gt;아니오")&gt;1),"중복 의심(같은 문서번호·구분·상태)","정상")))))))))))</f>
        <v/>
      </c>
      <c r="N128" s="15" t="str">
        <f t="shared" si="3"/>
        <v/>
      </c>
    </row>
    <row r="129" spans="1:14">
      <c r="A129" s="7"/>
      <c r="B129" s="3"/>
      <c r="C129" s="3"/>
      <c r="D129" s="3"/>
      <c r="E129" s="3"/>
      <c r="F129" s="3"/>
      <c r="G129" s="6"/>
      <c r="H129" s="3"/>
      <c r="I129" s="3"/>
      <c r="J129" s="3"/>
      <c r="K129" s="4" t="str">
        <f>IF(AND(D129="",E129=""),"",IF(E129="",1,IFERROR(INDEX(상품·기준!$C$35:$C$38,MATCH(E129,상품·기준!$A$35:$A$38,0)),"단위 확인")))</f>
        <v/>
      </c>
      <c r="L129" s="4" t="str">
        <f t="shared" si="2"/>
        <v/>
      </c>
      <c r="M129" s="4" t="str">
        <f>IF(COUNTA(A129:J129)=0,"",IF(A129="","날짜 미입력",IF(NOT(ISNUMBER(A129)),"날짜 확인(날짜 형식이 아님)",IF(B129="","구분 미입력",IF(D129="","수량 미입력",IF(NOT(ISNUMBER(D129)),"수량 확인(숫자가 아님)",IF(AND(D129&lt;0,B129&lt;&gt;"조정"),"음수 수량(구분으로 방향 표시)",IF(NOT(ISNUMBER(K129)),"단위 확인",IF(AND(OR(B129="입고",B129="기초"),G129=""),"단가 미입력",IF(OR(A129&lt;상품·기준!$C$14,A129&gt;상품·기준!$C$15),"기간 밖",IF(AND(H129&lt;&gt;"아니오",C129&lt;&gt;"",COUNTIFS($C$7:$C$306,C129,$B$7:$B$306,B129,$F$7:$F$306,F129,$H$7:$H$306,"&lt;&gt;아니오")&gt;1),"중복 의심(같은 문서번호·구분·상태)","정상")))))))))))</f>
        <v/>
      </c>
      <c r="N129" s="15" t="str">
        <f t="shared" si="3"/>
        <v/>
      </c>
    </row>
    <row r="130" spans="1:14">
      <c r="A130" s="7"/>
      <c r="B130" s="3"/>
      <c r="C130" s="3"/>
      <c r="D130" s="3"/>
      <c r="E130" s="3"/>
      <c r="F130" s="3"/>
      <c r="G130" s="6"/>
      <c r="H130" s="3"/>
      <c r="I130" s="3"/>
      <c r="J130" s="3"/>
      <c r="K130" s="4" t="str">
        <f>IF(AND(D130="",E130=""),"",IF(E130="",1,IFERROR(INDEX(상품·기준!$C$35:$C$38,MATCH(E130,상품·기준!$A$35:$A$38,0)),"단위 확인")))</f>
        <v/>
      </c>
      <c r="L130" s="4" t="str">
        <f t="shared" si="2"/>
        <v/>
      </c>
      <c r="M130" s="4" t="str">
        <f>IF(COUNTA(A130:J130)=0,"",IF(A130="","날짜 미입력",IF(NOT(ISNUMBER(A130)),"날짜 확인(날짜 형식이 아님)",IF(B130="","구분 미입력",IF(D130="","수량 미입력",IF(NOT(ISNUMBER(D130)),"수량 확인(숫자가 아님)",IF(AND(D130&lt;0,B130&lt;&gt;"조정"),"음수 수량(구분으로 방향 표시)",IF(NOT(ISNUMBER(K130)),"단위 확인",IF(AND(OR(B130="입고",B130="기초"),G130=""),"단가 미입력",IF(OR(A130&lt;상품·기준!$C$14,A130&gt;상품·기준!$C$15),"기간 밖",IF(AND(H130&lt;&gt;"아니오",C130&lt;&gt;"",COUNTIFS($C$7:$C$306,C130,$B$7:$B$306,B130,$F$7:$F$306,F130,$H$7:$H$306,"&lt;&gt;아니오")&gt;1),"중복 의심(같은 문서번호·구분·상태)","정상")))))))))))</f>
        <v/>
      </c>
      <c r="N130" s="15" t="str">
        <f t="shared" si="3"/>
        <v/>
      </c>
    </row>
    <row r="131" spans="1:14">
      <c r="A131" s="7"/>
      <c r="B131" s="3"/>
      <c r="C131" s="3"/>
      <c r="D131" s="3"/>
      <c r="E131" s="3"/>
      <c r="F131" s="3"/>
      <c r="G131" s="6"/>
      <c r="H131" s="3"/>
      <c r="I131" s="3"/>
      <c r="J131" s="3"/>
      <c r="K131" s="4" t="str">
        <f>IF(AND(D131="",E131=""),"",IF(E131="",1,IFERROR(INDEX(상품·기준!$C$35:$C$38,MATCH(E131,상품·기준!$A$35:$A$38,0)),"단위 확인")))</f>
        <v/>
      </c>
      <c r="L131" s="4" t="str">
        <f t="shared" si="2"/>
        <v/>
      </c>
      <c r="M131" s="4" t="str">
        <f>IF(COUNTA(A131:J131)=0,"",IF(A131="","날짜 미입력",IF(NOT(ISNUMBER(A131)),"날짜 확인(날짜 형식이 아님)",IF(B131="","구분 미입력",IF(D131="","수량 미입력",IF(NOT(ISNUMBER(D131)),"수량 확인(숫자가 아님)",IF(AND(D131&lt;0,B131&lt;&gt;"조정"),"음수 수량(구분으로 방향 표시)",IF(NOT(ISNUMBER(K131)),"단위 확인",IF(AND(OR(B131="입고",B131="기초"),G131=""),"단가 미입력",IF(OR(A131&lt;상품·기준!$C$14,A131&gt;상품·기준!$C$15),"기간 밖",IF(AND(H131&lt;&gt;"아니오",C131&lt;&gt;"",COUNTIFS($C$7:$C$306,C131,$B$7:$B$306,B131,$F$7:$F$306,F131,$H$7:$H$306,"&lt;&gt;아니오")&gt;1),"중복 의심(같은 문서번호·구분·상태)","정상")))))))))))</f>
        <v/>
      </c>
      <c r="N131" s="15" t="str">
        <f t="shared" si="3"/>
        <v/>
      </c>
    </row>
    <row r="132" spans="1:14">
      <c r="A132" s="7"/>
      <c r="B132" s="3"/>
      <c r="C132" s="3"/>
      <c r="D132" s="3"/>
      <c r="E132" s="3"/>
      <c r="F132" s="3"/>
      <c r="G132" s="6"/>
      <c r="H132" s="3"/>
      <c r="I132" s="3"/>
      <c r="J132" s="3"/>
      <c r="K132" s="4" t="str">
        <f>IF(AND(D132="",E132=""),"",IF(E132="",1,IFERROR(INDEX(상품·기준!$C$35:$C$38,MATCH(E132,상품·기준!$A$35:$A$38,0)),"단위 확인")))</f>
        <v/>
      </c>
      <c r="L132" s="4" t="str">
        <f t="shared" si="2"/>
        <v/>
      </c>
      <c r="M132" s="4" t="str">
        <f>IF(COUNTA(A132:J132)=0,"",IF(A132="","날짜 미입력",IF(NOT(ISNUMBER(A132)),"날짜 확인(날짜 형식이 아님)",IF(B132="","구분 미입력",IF(D132="","수량 미입력",IF(NOT(ISNUMBER(D132)),"수량 확인(숫자가 아님)",IF(AND(D132&lt;0,B132&lt;&gt;"조정"),"음수 수량(구분으로 방향 표시)",IF(NOT(ISNUMBER(K132)),"단위 확인",IF(AND(OR(B132="입고",B132="기초"),G132=""),"단가 미입력",IF(OR(A132&lt;상품·기준!$C$14,A132&gt;상품·기준!$C$15),"기간 밖",IF(AND(H132&lt;&gt;"아니오",C132&lt;&gt;"",COUNTIFS($C$7:$C$306,C132,$B$7:$B$306,B132,$F$7:$F$306,F132,$H$7:$H$306,"&lt;&gt;아니오")&gt;1),"중복 의심(같은 문서번호·구분·상태)","정상")))))))))))</f>
        <v/>
      </c>
      <c r="N132" s="15" t="str">
        <f t="shared" si="3"/>
        <v/>
      </c>
    </row>
    <row r="133" spans="1:14">
      <c r="A133" s="7"/>
      <c r="B133" s="3"/>
      <c r="C133" s="3"/>
      <c r="D133" s="3"/>
      <c r="E133" s="3"/>
      <c r="F133" s="3"/>
      <c r="G133" s="6"/>
      <c r="H133" s="3"/>
      <c r="I133" s="3"/>
      <c r="J133" s="3"/>
      <c r="K133" s="4" t="str">
        <f>IF(AND(D133="",E133=""),"",IF(E133="",1,IFERROR(INDEX(상품·기준!$C$35:$C$38,MATCH(E133,상품·기준!$A$35:$A$38,0)),"단위 확인")))</f>
        <v/>
      </c>
      <c r="L133" s="4" t="str">
        <f t="shared" si="2"/>
        <v/>
      </c>
      <c r="M133" s="4" t="str">
        <f>IF(COUNTA(A133:J133)=0,"",IF(A133="","날짜 미입력",IF(NOT(ISNUMBER(A133)),"날짜 확인(날짜 형식이 아님)",IF(B133="","구분 미입력",IF(D133="","수량 미입력",IF(NOT(ISNUMBER(D133)),"수량 확인(숫자가 아님)",IF(AND(D133&lt;0,B133&lt;&gt;"조정"),"음수 수량(구분으로 방향 표시)",IF(NOT(ISNUMBER(K133)),"단위 확인",IF(AND(OR(B133="입고",B133="기초"),G133=""),"단가 미입력",IF(OR(A133&lt;상품·기준!$C$14,A133&gt;상품·기준!$C$15),"기간 밖",IF(AND(H133&lt;&gt;"아니오",C133&lt;&gt;"",COUNTIFS($C$7:$C$306,C133,$B$7:$B$306,B133,$F$7:$F$306,F133,$H$7:$H$306,"&lt;&gt;아니오")&gt;1),"중복 의심(같은 문서번호·구분·상태)","정상")))))))))))</f>
        <v/>
      </c>
      <c r="N133" s="15" t="str">
        <f t="shared" si="3"/>
        <v/>
      </c>
    </row>
    <row r="134" spans="1:14">
      <c r="A134" s="7"/>
      <c r="B134" s="3"/>
      <c r="C134" s="3"/>
      <c r="D134" s="3"/>
      <c r="E134" s="3"/>
      <c r="F134" s="3"/>
      <c r="G134" s="6"/>
      <c r="H134" s="3"/>
      <c r="I134" s="3"/>
      <c r="J134" s="3"/>
      <c r="K134" s="4" t="str">
        <f>IF(AND(D134="",E134=""),"",IF(E134="",1,IFERROR(INDEX(상품·기준!$C$35:$C$38,MATCH(E134,상품·기준!$A$35:$A$38,0)),"단위 확인")))</f>
        <v/>
      </c>
      <c r="L134" s="4" t="str">
        <f t="shared" si="2"/>
        <v/>
      </c>
      <c r="M134" s="4" t="str">
        <f>IF(COUNTA(A134:J134)=0,"",IF(A134="","날짜 미입력",IF(NOT(ISNUMBER(A134)),"날짜 확인(날짜 형식이 아님)",IF(B134="","구분 미입력",IF(D134="","수량 미입력",IF(NOT(ISNUMBER(D134)),"수량 확인(숫자가 아님)",IF(AND(D134&lt;0,B134&lt;&gt;"조정"),"음수 수량(구분으로 방향 표시)",IF(NOT(ISNUMBER(K134)),"단위 확인",IF(AND(OR(B134="입고",B134="기초"),G134=""),"단가 미입력",IF(OR(A134&lt;상품·기준!$C$14,A134&gt;상품·기준!$C$15),"기간 밖",IF(AND(H134&lt;&gt;"아니오",C134&lt;&gt;"",COUNTIFS($C$7:$C$306,C134,$B$7:$B$306,B134,$F$7:$F$306,F134,$H$7:$H$306,"&lt;&gt;아니오")&gt;1),"중복 의심(같은 문서번호·구분·상태)","정상")))))))))))</f>
        <v/>
      </c>
      <c r="N134" s="15" t="str">
        <f t="shared" si="3"/>
        <v/>
      </c>
    </row>
    <row r="135" spans="1:14">
      <c r="A135" s="7"/>
      <c r="B135" s="3"/>
      <c r="C135" s="3"/>
      <c r="D135" s="3"/>
      <c r="E135" s="3"/>
      <c r="F135" s="3"/>
      <c r="G135" s="6"/>
      <c r="H135" s="3"/>
      <c r="I135" s="3"/>
      <c r="J135" s="3"/>
      <c r="K135" s="4" t="str">
        <f>IF(AND(D135="",E135=""),"",IF(E135="",1,IFERROR(INDEX(상품·기준!$C$35:$C$38,MATCH(E135,상품·기준!$A$35:$A$38,0)),"단위 확인")))</f>
        <v/>
      </c>
      <c r="L135" s="4" t="str">
        <f t="shared" ref="L135:L198" si="4">IF(AND(ISNUMBER(D135),ISNUMBER(K135)),D135*K135,"")</f>
        <v/>
      </c>
      <c r="M135" s="4" t="str">
        <f>IF(COUNTA(A135:J135)=0,"",IF(A135="","날짜 미입력",IF(NOT(ISNUMBER(A135)),"날짜 확인(날짜 형식이 아님)",IF(B135="","구분 미입력",IF(D135="","수량 미입력",IF(NOT(ISNUMBER(D135)),"수량 확인(숫자가 아님)",IF(AND(D135&lt;0,B135&lt;&gt;"조정"),"음수 수량(구분으로 방향 표시)",IF(NOT(ISNUMBER(K135)),"단위 확인",IF(AND(OR(B135="입고",B135="기초"),G135=""),"단가 미입력",IF(OR(A135&lt;상품·기준!$C$14,A135&gt;상품·기준!$C$15),"기간 밖",IF(AND(H135&lt;&gt;"아니오",C135&lt;&gt;"",COUNTIFS($C$7:$C$306,C135,$B$7:$B$306,B135,$F$7:$F$306,F135,$H$7:$H$306,"&lt;&gt;아니오")&gt;1),"중복 의심(같은 문서번호·구분·상태)","정상")))))))))))</f>
        <v/>
      </c>
      <c r="N135" s="15" t="str">
        <f t="shared" ref="N135:N198" si="5">IF(M135="","",IF(M135="정상",0,1))</f>
        <v/>
      </c>
    </row>
    <row r="136" spans="1:14">
      <c r="A136" s="7"/>
      <c r="B136" s="3"/>
      <c r="C136" s="3"/>
      <c r="D136" s="3"/>
      <c r="E136" s="3"/>
      <c r="F136" s="3"/>
      <c r="G136" s="6"/>
      <c r="H136" s="3"/>
      <c r="I136" s="3"/>
      <c r="J136" s="3"/>
      <c r="K136" s="4" t="str">
        <f>IF(AND(D136="",E136=""),"",IF(E136="",1,IFERROR(INDEX(상품·기준!$C$35:$C$38,MATCH(E136,상품·기준!$A$35:$A$38,0)),"단위 확인")))</f>
        <v/>
      </c>
      <c r="L136" s="4" t="str">
        <f t="shared" si="4"/>
        <v/>
      </c>
      <c r="M136" s="4" t="str">
        <f>IF(COUNTA(A136:J136)=0,"",IF(A136="","날짜 미입력",IF(NOT(ISNUMBER(A136)),"날짜 확인(날짜 형식이 아님)",IF(B136="","구분 미입력",IF(D136="","수량 미입력",IF(NOT(ISNUMBER(D136)),"수량 확인(숫자가 아님)",IF(AND(D136&lt;0,B136&lt;&gt;"조정"),"음수 수량(구분으로 방향 표시)",IF(NOT(ISNUMBER(K136)),"단위 확인",IF(AND(OR(B136="입고",B136="기초"),G136=""),"단가 미입력",IF(OR(A136&lt;상품·기준!$C$14,A136&gt;상품·기준!$C$15),"기간 밖",IF(AND(H136&lt;&gt;"아니오",C136&lt;&gt;"",COUNTIFS($C$7:$C$306,C136,$B$7:$B$306,B136,$F$7:$F$306,F136,$H$7:$H$306,"&lt;&gt;아니오")&gt;1),"중복 의심(같은 문서번호·구분·상태)","정상")))))))))))</f>
        <v/>
      </c>
      <c r="N136" s="15" t="str">
        <f t="shared" si="5"/>
        <v/>
      </c>
    </row>
    <row r="137" spans="1:14">
      <c r="A137" s="7"/>
      <c r="B137" s="3"/>
      <c r="C137" s="3"/>
      <c r="D137" s="3"/>
      <c r="E137" s="3"/>
      <c r="F137" s="3"/>
      <c r="G137" s="6"/>
      <c r="H137" s="3"/>
      <c r="I137" s="3"/>
      <c r="J137" s="3"/>
      <c r="K137" s="4" t="str">
        <f>IF(AND(D137="",E137=""),"",IF(E137="",1,IFERROR(INDEX(상품·기준!$C$35:$C$38,MATCH(E137,상품·기준!$A$35:$A$38,0)),"단위 확인")))</f>
        <v/>
      </c>
      <c r="L137" s="4" t="str">
        <f t="shared" si="4"/>
        <v/>
      </c>
      <c r="M137" s="4" t="str">
        <f>IF(COUNTA(A137:J137)=0,"",IF(A137="","날짜 미입력",IF(NOT(ISNUMBER(A137)),"날짜 확인(날짜 형식이 아님)",IF(B137="","구분 미입력",IF(D137="","수량 미입력",IF(NOT(ISNUMBER(D137)),"수량 확인(숫자가 아님)",IF(AND(D137&lt;0,B137&lt;&gt;"조정"),"음수 수량(구분으로 방향 표시)",IF(NOT(ISNUMBER(K137)),"단위 확인",IF(AND(OR(B137="입고",B137="기초"),G137=""),"단가 미입력",IF(OR(A137&lt;상품·기준!$C$14,A137&gt;상품·기준!$C$15),"기간 밖",IF(AND(H137&lt;&gt;"아니오",C137&lt;&gt;"",COUNTIFS($C$7:$C$306,C137,$B$7:$B$306,B137,$F$7:$F$306,F137,$H$7:$H$306,"&lt;&gt;아니오")&gt;1),"중복 의심(같은 문서번호·구분·상태)","정상")))))))))))</f>
        <v/>
      </c>
      <c r="N137" s="15" t="str">
        <f t="shared" si="5"/>
        <v/>
      </c>
    </row>
    <row r="138" spans="1:14">
      <c r="A138" s="7"/>
      <c r="B138" s="3"/>
      <c r="C138" s="3"/>
      <c r="D138" s="3"/>
      <c r="E138" s="3"/>
      <c r="F138" s="3"/>
      <c r="G138" s="6"/>
      <c r="H138" s="3"/>
      <c r="I138" s="3"/>
      <c r="J138" s="3"/>
      <c r="K138" s="4" t="str">
        <f>IF(AND(D138="",E138=""),"",IF(E138="",1,IFERROR(INDEX(상품·기준!$C$35:$C$38,MATCH(E138,상품·기준!$A$35:$A$38,0)),"단위 확인")))</f>
        <v/>
      </c>
      <c r="L138" s="4" t="str">
        <f t="shared" si="4"/>
        <v/>
      </c>
      <c r="M138" s="4" t="str">
        <f>IF(COUNTA(A138:J138)=0,"",IF(A138="","날짜 미입력",IF(NOT(ISNUMBER(A138)),"날짜 확인(날짜 형식이 아님)",IF(B138="","구분 미입력",IF(D138="","수량 미입력",IF(NOT(ISNUMBER(D138)),"수량 확인(숫자가 아님)",IF(AND(D138&lt;0,B138&lt;&gt;"조정"),"음수 수량(구분으로 방향 표시)",IF(NOT(ISNUMBER(K138)),"단위 확인",IF(AND(OR(B138="입고",B138="기초"),G138=""),"단가 미입력",IF(OR(A138&lt;상품·기준!$C$14,A138&gt;상품·기준!$C$15),"기간 밖",IF(AND(H138&lt;&gt;"아니오",C138&lt;&gt;"",COUNTIFS($C$7:$C$306,C138,$B$7:$B$306,B138,$F$7:$F$306,F138,$H$7:$H$306,"&lt;&gt;아니오")&gt;1),"중복 의심(같은 문서번호·구분·상태)","정상")))))))))))</f>
        <v/>
      </c>
      <c r="N138" s="15" t="str">
        <f t="shared" si="5"/>
        <v/>
      </c>
    </row>
    <row r="139" spans="1:14">
      <c r="A139" s="7"/>
      <c r="B139" s="3"/>
      <c r="C139" s="3"/>
      <c r="D139" s="3"/>
      <c r="E139" s="3"/>
      <c r="F139" s="3"/>
      <c r="G139" s="6"/>
      <c r="H139" s="3"/>
      <c r="I139" s="3"/>
      <c r="J139" s="3"/>
      <c r="K139" s="4" t="str">
        <f>IF(AND(D139="",E139=""),"",IF(E139="",1,IFERROR(INDEX(상품·기준!$C$35:$C$38,MATCH(E139,상품·기준!$A$35:$A$38,0)),"단위 확인")))</f>
        <v/>
      </c>
      <c r="L139" s="4" t="str">
        <f t="shared" si="4"/>
        <v/>
      </c>
      <c r="M139" s="4" t="str">
        <f>IF(COUNTA(A139:J139)=0,"",IF(A139="","날짜 미입력",IF(NOT(ISNUMBER(A139)),"날짜 확인(날짜 형식이 아님)",IF(B139="","구분 미입력",IF(D139="","수량 미입력",IF(NOT(ISNUMBER(D139)),"수량 확인(숫자가 아님)",IF(AND(D139&lt;0,B139&lt;&gt;"조정"),"음수 수량(구분으로 방향 표시)",IF(NOT(ISNUMBER(K139)),"단위 확인",IF(AND(OR(B139="입고",B139="기초"),G139=""),"단가 미입력",IF(OR(A139&lt;상품·기준!$C$14,A139&gt;상품·기준!$C$15),"기간 밖",IF(AND(H139&lt;&gt;"아니오",C139&lt;&gt;"",COUNTIFS($C$7:$C$306,C139,$B$7:$B$306,B139,$F$7:$F$306,F139,$H$7:$H$306,"&lt;&gt;아니오")&gt;1),"중복 의심(같은 문서번호·구분·상태)","정상")))))))))))</f>
        <v/>
      </c>
      <c r="N139" s="15" t="str">
        <f t="shared" si="5"/>
        <v/>
      </c>
    </row>
    <row r="140" spans="1:14">
      <c r="A140" s="7"/>
      <c r="B140" s="3"/>
      <c r="C140" s="3"/>
      <c r="D140" s="3"/>
      <c r="E140" s="3"/>
      <c r="F140" s="3"/>
      <c r="G140" s="6"/>
      <c r="H140" s="3"/>
      <c r="I140" s="3"/>
      <c r="J140" s="3"/>
      <c r="K140" s="4" t="str">
        <f>IF(AND(D140="",E140=""),"",IF(E140="",1,IFERROR(INDEX(상품·기준!$C$35:$C$38,MATCH(E140,상품·기준!$A$35:$A$38,0)),"단위 확인")))</f>
        <v/>
      </c>
      <c r="L140" s="4" t="str">
        <f t="shared" si="4"/>
        <v/>
      </c>
      <c r="M140" s="4" t="str">
        <f>IF(COUNTA(A140:J140)=0,"",IF(A140="","날짜 미입력",IF(NOT(ISNUMBER(A140)),"날짜 확인(날짜 형식이 아님)",IF(B140="","구분 미입력",IF(D140="","수량 미입력",IF(NOT(ISNUMBER(D140)),"수량 확인(숫자가 아님)",IF(AND(D140&lt;0,B140&lt;&gt;"조정"),"음수 수량(구분으로 방향 표시)",IF(NOT(ISNUMBER(K140)),"단위 확인",IF(AND(OR(B140="입고",B140="기초"),G140=""),"단가 미입력",IF(OR(A140&lt;상품·기준!$C$14,A140&gt;상품·기준!$C$15),"기간 밖",IF(AND(H140&lt;&gt;"아니오",C140&lt;&gt;"",COUNTIFS($C$7:$C$306,C140,$B$7:$B$306,B140,$F$7:$F$306,F140,$H$7:$H$306,"&lt;&gt;아니오")&gt;1),"중복 의심(같은 문서번호·구분·상태)","정상")))))))))))</f>
        <v/>
      </c>
      <c r="N140" s="15" t="str">
        <f t="shared" si="5"/>
        <v/>
      </c>
    </row>
    <row r="141" spans="1:14">
      <c r="A141" s="7"/>
      <c r="B141" s="3"/>
      <c r="C141" s="3"/>
      <c r="D141" s="3"/>
      <c r="E141" s="3"/>
      <c r="F141" s="3"/>
      <c r="G141" s="6"/>
      <c r="H141" s="3"/>
      <c r="I141" s="3"/>
      <c r="J141" s="3"/>
      <c r="K141" s="4" t="str">
        <f>IF(AND(D141="",E141=""),"",IF(E141="",1,IFERROR(INDEX(상품·기준!$C$35:$C$38,MATCH(E141,상품·기준!$A$35:$A$38,0)),"단위 확인")))</f>
        <v/>
      </c>
      <c r="L141" s="4" t="str">
        <f t="shared" si="4"/>
        <v/>
      </c>
      <c r="M141" s="4" t="str">
        <f>IF(COUNTA(A141:J141)=0,"",IF(A141="","날짜 미입력",IF(NOT(ISNUMBER(A141)),"날짜 확인(날짜 형식이 아님)",IF(B141="","구분 미입력",IF(D141="","수량 미입력",IF(NOT(ISNUMBER(D141)),"수량 확인(숫자가 아님)",IF(AND(D141&lt;0,B141&lt;&gt;"조정"),"음수 수량(구분으로 방향 표시)",IF(NOT(ISNUMBER(K141)),"단위 확인",IF(AND(OR(B141="입고",B141="기초"),G141=""),"단가 미입력",IF(OR(A141&lt;상품·기준!$C$14,A141&gt;상품·기준!$C$15),"기간 밖",IF(AND(H141&lt;&gt;"아니오",C141&lt;&gt;"",COUNTIFS($C$7:$C$306,C141,$B$7:$B$306,B141,$F$7:$F$306,F141,$H$7:$H$306,"&lt;&gt;아니오")&gt;1),"중복 의심(같은 문서번호·구분·상태)","정상")))))))))))</f>
        <v/>
      </c>
      <c r="N141" s="15" t="str">
        <f t="shared" si="5"/>
        <v/>
      </c>
    </row>
    <row r="142" spans="1:14">
      <c r="A142" s="7"/>
      <c r="B142" s="3"/>
      <c r="C142" s="3"/>
      <c r="D142" s="3"/>
      <c r="E142" s="3"/>
      <c r="F142" s="3"/>
      <c r="G142" s="6"/>
      <c r="H142" s="3"/>
      <c r="I142" s="3"/>
      <c r="J142" s="3"/>
      <c r="K142" s="4" t="str">
        <f>IF(AND(D142="",E142=""),"",IF(E142="",1,IFERROR(INDEX(상품·기준!$C$35:$C$38,MATCH(E142,상품·기준!$A$35:$A$38,0)),"단위 확인")))</f>
        <v/>
      </c>
      <c r="L142" s="4" t="str">
        <f t="shared" si="4"/>
        <v/>
      </c>
      <c r="M142" s="4" t="str">
        <f>IF(COUNTA(A142:J142)=0,"",IF(A142="","날짜 미입력",IF(NOT(ISNUMBER(A142)),"날짜 확인(날짜 형식이 아님)",IF(B142="","구분 미입력",IF(D142="","수량 미입력",IF(NOT(ISNUMBER(D142)),"수량 확인(숫자가 아님)",IF(AND(D142&lt;0,B142&lt;&gt;"조정"),"음수 수량(구분으로 방향 표시)",IF(NOT(ISNUMBER(K142)),"단위 확인",IF(AND(OR(B142="입고",B142="기초"),G142=""),"단가 미입력",IF(OR(A142&lt;상품·기준!$C$14,A142&gt;상품·기준!$C$15),"기간 밖",IF(AND(H142&lt;&gt;"아니오",C142&lt;&gt;"",COUNTIFS($C$7:$C$306,C142,$B$7:$B$306,B142,$F$7:$F$306,F142,$H$7:$H$306,"&lt;&gt;아니오")&gt;1),"중복 의심(같은 문서번호·구분·상태)","정상")))))))))))</f>
        <v/>
      </c>
      <c r="N142" s="15" t="str">
        <f t="shared" si="5"/>
        <v/>
      </c>
    </row>
    <row r="143" spans="1:14">
      <c r="A143" s="7"/>
      <c r="B143" s="3"/>
      <c r="C143" s="3"/>
      <c r="D143" s="3"/>
      <c r="E143" s="3"/>
      <c r="F143" s="3"/>
      <c r="G143" s="6"/>
      <c r="H143" s="3"/>
      <c r="I143" s="3"/>
      <c r="J143" s="3"/>
      <c r="K143" s="4" t="str">
        <f>IF(AND(D143="",E143=""),"",IF(E143="",1,IFERROR(INDEX(상품·기준!$C$35:$C$38,MATCH(E143,상품·기준!$A$35:$A$38,0)),"단위 확인")))</f>
        <v/>
      </c>
      <c r="L143" s="4" t="str">
        <f t="shared" si="4"/>
        <v/>
      </c>
      <c r="M143" s="4" t="str">
        <f>IF(COUNTA(A143:J143)=0,"",IF(A143="","날짜 미입력",IF(NOT(ISNUMBER(A143)),"날짜 확인(날짜 형식이 아님)",IF(B143="","구분 미입력",IF(D143="","수량 미입력",IF(NOT(ISNUMBER(D143)),"수량 확인(숫자가 아님)",IF(AND(D143&lt;0,B143&lt;&gt;"조정"),"음수 수량(구분으로 방향 표시)",IF(NOT(ISNUMBER(K143)),"단위 확인",IF(AND(OR(B143="입고",B143="기초"),G143=""),"단가 미입력",IF(OR(A143&lt;상품·기준!$C$14,A143&gt;상품·기준!$C$15),"기간 밖",IF(AND(H143&lt;&gt;"아니오",C143&lt;&gt;"",COUNTIFS($C$7:$C$306,C143,$B$7:$B$306,B143,$F$7:$F$306,F143,$H$7:$H$306,"&lt;&gt;아니오")&gt;1),"중복 의심(같은 문서번호·구분·상태)","정상")))))))))))</f>
        <v/>
      </c>
      <c r="N143" s="15" t="str">
        <f t="shared" si="5"/>
        <v/>
      </c>
    </row>
    <row r="144" spans="1:14">
      <c r="A144" s="7"/>
      <c r="B144" s="3"/>
      <c r="C144" s="3"/>
      <c r="D144" s="3"/>
      <c r="E144" s="3"/>
      <c r="F144" s="3"/>
      <c r="G144" s="6"/>
      <c r="H144" s="3"/>
      <c r="I144" s="3"/>
      <c r="J144" s="3"/>
      <c r="K144" s="4" t="str">
        <f>IF(AND(D144="",E144=""),"",IF(E144="",1,IFERROR(INDEX(상품·기준!$C$35:$C$38,MATCH(E144,상품·기준!$A$35:$A$38,0)),"단위 확인")))</f>
        <v/>
      </c>
      <c r="L144" s="4" t="str">
        <f t="shared" si="4"/>
        <v/>
      </c>
      <c r="M144" s="4" t="str">
        <f>IF(COUNTA(A144:J144)=0,"",IF(A144="","날짜 미입력",IF(NOT(ISNUMBER(A144)),"날짜 확인(날짜 형식이 아님)",IF(B144="","구분 미입력",IF(D144="","수량 미입력",IF(NOT(ISNUMBER(D144)),"수량 확인(숫자가 아님)",IF(AND(D144&lt;0,B144&lt;&gt;"조정"),"음수 수량(구분으로 방향 표시)",IF(NOT(ISNUMBER(K144)),"단위 확인",IF(AND(OR(B144="입고",B144="기초"),G144=""),"단가 미입력",IF(OR(A144&lt;상품·기준!$C$14,A144&gt;상품·기준!$C$15),"기간 밖",IF(AND(H144&lt;&gt;"아니오",C144&lt;&gt;"",COUNTIFS($C$7:$C$306,C144,$B$7:$B$306,B144,$F$7:$F$306,F144,$H$7:$H$306,"&lt;&gt;아니오")&gt;1),"중복 의심(같은 문서번호·구분·상태)","정상")))))))))))</f>
        <v/>
      </c>
      <c r="N144" s="15" t="str">
        <f t="shared" si="5"/>
        <v/>
      </c>
    </row>
    <row r="145" spans="1:14">
      <c r="A145" s="7"/>
      <c r="B145" s="3"/>
      <c r="C145" s="3"/>
      <c r="D145" s="3"/>
      <c r="E145" s="3"/>
      <c r="F145" s="3"/>
      <c r="G145" s="6"/>
      <c r="H145" s="3"/>
      <c r="I145" s="3"/>
      <c r="J145" s="3"/>
      <c r="K145" s="4" t="str">
        <f>IF(AND(D145="",E145=""),"",IF(E145="",1,IFERROR(INDEX(상품·기준!$C$35:$C$38,MATCH(E145,상품·기준!$A$35:$A$38,0)),"단위 확인")))</f>
        <v/>
      </c>
      <c r="L145" s="4" t="str">
        <f t="shared" si="4"/>
        <v/>
      </c>
      <c r="M145" s="4" t="str">
        <f>IF(COUNTA(A145:J145)=0,"",IF(A145="","날짜 미입력",IF(NOT(ISNUMBER(A145)),"날짜 확인(날짜 형식이 아님)",IF(B145="","구분 미입력",IF(D145="","수량 미입력",IF(NOT(ISNUMBER(D145)),"수량 확인(숫자가 아님)",IF(AND(D145&lt;0,B145&lt;&gt;"조정"),"음수 수량(구분으로 방향 표시)",IF(NOT(ISNUMBER(K145)),"단위 확인",IF(AND(OR(B145="입고",B145="기초"),G145=""),"단가 미입력",IF(OR(A145&lt;상품·기준!$C$14,A145&gt;상품·기준!$C$15),"기간 밖",IF(AND(H145&lt;&gt;"아니오",C145&lt;&gt;"",COUNTIFS($C$7:$C$306,C145,$B$7:$B$306,B145,$F$7:$F$306,F145,$H$7:$H$306,"&lt;&gt;아니오")&gt;1),"중복 의심(같은 문서번호·구분·상태)","정상")))))))))))</f>
        <v/>
      </c>
      <c r="N145" s="15" t="str">
        <f t="shared" si="5"/>
        <v/>
      </c>
    </row>
    <row r="146" spans="1:14">
      <c r="A146" s="7"/>
      <c r="B146" s="3"/>
      <c r="C146" s="3"/>
      <c r="D146" s="3"/>
      <c r="E146" s="3"/>
      <c r="F146" s="3"/>
      <c r="G146" s="6"/>
      <c r="H146" s="3"/>
      <c r="I146" s="3"/>
      <c r="J146" s="3"/>
      <c r="K146" s="4" t="str">
        <f>IF(AND(D146="",E146=""),"",IF(E146="",1,IFERROR(INDEX(상품·기준!$C$35:$C$38,MATCH(E146,상품·기준!$A$35:$A$38,0)),"단위 확인")))</f>
        <v/>
      </c>
      <c r="L146" s="4" t="str">
        <f t="shared" si="4"/>
        <v/>
      </c>
      <c r="M146" s="4" t="str">
        <f>IF(COUNTA(A146:J146)=0,"",IF(A146="","날짜 미입력",IF(NOT(ISNUMBER(A146)),"날짜 확인(날짜 형식이 아님)",IF(B146="","구분 미입력",IF(D146="","수량 미입력",IF(NOT(ISNUMBER(D146)),"수량 확인(숫자가 아님)",IF(AND(D146&lt;0,B146&lt;&gt;"조정"),"음수 수량(구분으로 방향 표시)",IF(NOT(ISNUMBER(K146)),"단위 확인",IF(AND(OR(B146="입고",B146="기초"),G146=""),"단가 미입력",IF(OR(A146&lt;상품·기준!$C$14,A146&gt;상품·기준!$C$15),"기간 밖",IF(AND(H146&lt;&gt;"아니오",C146&lt;&gt;"",COUNTIFS($C$7:$C$306,C146,$B$7:$B$306,B146,$F$7:$F$306,F146,$H$7:$H$306,"&lt;&gt;아니오")&gt;1),"중복 의심(같은 문서번호·구분·상태)","정상")))))))))))</f>
        <v/>
      </c>
      <c r="N146" s="15" t="str">
        <f t="shared" si="5"/>
        <v/>
      </c>
    </row>
    <row r="147" spans="1:14">
      <c r="A147" s="7"/>
      <c r="B147" s="3"/>
      <c r="C147" s="3"/>
      <c r="D147" s="3"/>
      <c r="E147" s="3"/>
      <c r="F147" s="3"/>
      <c r="G147" s="6"/>
      <c r="H147" s="3"/>
      <c r="I147" s="3"/>
      <c r="J147" s="3"/>
      <c r="K147" s="4" t="str">
        <f>IF(AND(D147="",E147=""),"",IF(E147="",1,IFERROR(INDEX(상품·기준!$C$35:$C$38,MATCH(E147,상품·기준!$A$35:$A$38,0)),"단위 확인")))</f>
        <v/>
      </c>
      <c r="L147" s="4" t="str">
        <f t="shared" si="4"/>
        <v/>
      </c>
      <c r="M147" s="4" t="str">
        <f>IF(COUNTA(A147:J147)=0,"",IF(A147="","날짜 미입력",IF(NOT(ISNUMBER(A147)),"날짜 확인(날짜 형식이 아님)",IF(B147="","구분 미입력",IF(D147="","수량 미입력",IF(NOT(ISNUMBER(D147)),"수량 확인(숫자가 아님)",IF(AND(D147&lt;0,B147&lt;&gt;"조정"),"음수 수량(구분으로 방향 표시)",IF(NOT(ISNUMBER(K147)),"단위 확인",IF(AND(OR(B147="입고",B147="기초"),G147=""),"단가 미입력",IF(OR(A147&lt;상품·기준!$C$14,A147&gt;상품·기준!$C$15),"기간 밖",IF(AND(H147&lt;&gt;"아니오",C147&lt;&gt;"",COUNTIFS($C$7:$C$306,C147,$B$7:$B$306,B147,$F$7:$F$306,F147,$H$7:$H$306,"&lt;&gt;아니오")&gt;1),"중복 의심(같은 문서번호·구분·상태)","정상")))))))))))</f>
        <v/>
      </c>
      <c r="N147" s="15" t="str">
        <f t="shared" si="5"/>
        <v/>
      </c>
    </row>
    <row r="148" spans="1:14">
      <c r="A148" s="7"/>
      <c r="B148" s="3"/>
      <c r="C148" s="3"/>
      <c r="D148" s="3"/>
      <c r="E148" s="3"/>
      <c r="F148" s="3"/>
      <c r="G148" s="6"/>
      <c r="H148" s="3"/>
      <c r="I148" s="3"/>
      <c r="J148" s="3"/>
      <c r="K148" s="4" t="str">
        <f>IF(AND(D148="",E148=""),"",IF(E148="",1,IFERROR(INDEX(상품·기준!$C$35:$C$38,MATCH(E148,상품·기준!$A$35:$A$38,0)),"단위 확인")))</f>
        <v/>
      </c>
      <c r="L148" s="4" t="str">
        <f t="shared" si="4"/>
        <v/>
      </c>
      <c r="M148" s="4" t="str">
        <f>IF(COUNTA(A148:J148)=0,"",IF(A148="","날짜 미입력",IF(NOT(ISNUMBER(A148)),"날짜 확인(날짜 형식이 아님)",IF(B148="","구분 미입력",IF(D148="","수량 미입력",IF(NOT(ISNUMBER(D148)),"수량 확인(숫자가 아님)",IF(AND(D148&lt;0,B148&lt;&gt;"조정"),"음수 수량(구분으로 방향 표시)",IF(NOT(ISNUMBER(K148)),"단위 확인",IF(AND(OR(B148="입고",B148="기초"),G148=""),"단가 미입력",IF(OR(A148&lt;상품·기준!$C$14,A148&gt;상품·기준!$C$15),"기간 밖",IF(AND(H148&lt;&gt;"아니오",C148&lt;&gt;"",COUNTIFS($C$7:$C$306,C148,$B$7:$B$306,B148,$F$7:$F$306,F148,$H$7:$H$306,"&lt;&gt;아니오")&gt;1),"중복 의심(같은 문서번호·구분·상태)","정상")))))))))))</f>
        <v/>
      </c>
      <c r="N148" s="15" t="str">
        <f t="shared" si="5"/>
        <v/>
      </c>
    </row>
    <row r="149" spans="1:14">
      <c r="A149" s="7"/>
      <c r="B149" s="3"/>
      <c r="C149" s="3"/>
      <c r="D149" s="3"/>
      <c r="E149" s="3"/>
      <c r="F149" s="3"/>
      <c r="G149" s="6"/>
      <c r="H149" s="3"/>
      <c r="I149" s="3"/>
      <c r="J149" s="3"/>
      <c r="K149" s="4" t="str">
        <f>IF(AND(D149="",E149=""),"",IF(E149="",1,IFERROR(INDEX(상품·기준!$C$35:$C$38,MATCH(E149,상품·기준!$A$35:$A$38,0)),"단위 확인")))</f>
        <v/>
      </c>
      <c r="L149" s="4" t="str">
        <f t="shared" si="4"/>
        <v/>
      </c>
      <c r="M149" s="4" t="str">
        <f>IF(COUNTA(A149:J149)=0,"",IF(A149="","날짜 미입력",IF(NOT(ISNUMBER(A149)),"날짜 확인(날짜 형식이 아님)",IF(B149="","구분 미입력",IF(D149="","수량 미입력",IF(NOT(ISNUMBER(D149)),"수량 확인(숫자가 아님)",IF(AND(D149&lt;0,B149&lt;&gt;"조정"),"음수 수량(구분으로 방향 표시)",IF(NOT(ISNUMBER(K149)),"단위 확인",IF(AND(OR(B149="입고",B149="기초"),G149=""),"단가 미입력",IF(OR(A149&lt;상품·기준!$C$14,A149&gt;상품·기준!$C$15),"기간 밖",IF(AND(H149&lt;&gt;"아니오",C149&lt;&gt;"",COUNTIFS($C$7:$C$306,C149,$B$7:$B$306,B149,$F$7:$F$306,F149,$H$7:$H$306,"&lt;&gt;아니오")&gt;1),"중복 의심(같은 문서번호·구분·상태)","정상")))))))))))</f>
        <v/>
      </c>
      <c r="N149" s="15" t="str">
        <f t="shared" si="5"/>
        <v/>
      </c>
    </row>
    <row r="150" spans="1:14">
      <c r="A150" s="7"/>
      <c r="B150" s="3"/>
      <c r="C150" s="3"/>
      <c r="D150" s="3"/>
      <c r="E150" s="3"/>
      <c r="F150" s="3"/>
      <c r="G150" s="6"/>
      <c r="H150" s="3"/>
      <c r="I150" s="3"/>
      <c r="J150" s="3"/>
      <c r="K150" s="4" t="str">
        <f>IF(AND(D150="",E150=""),"",IF(E150="",1,IFERROR(INDEX(상품·기준!$C$35:$C$38,MATCH(E150,상품·기준!$A$35:$A$38,0)),"단위 확인")))</f>
        <v/>
      </c>
      <c r="L150" s="4" t="str">
        <f t="shared" si="4"/>
        <v/>
      </c>
      <c r="M150" s="4" t="str">
        <f>IF(COUNTA(A150:J150)=0,"",IF(A150="","날짜 미입력",IF(NOT(ISNUMBER(A150)),"날짜 확인(날짜 형식이 아님)",IF(B150="","구분 미입력",IF(D150="","수량 미입력",IF(NOT(ISNUMBER(D150)),"수량 확인(숫자가 아님)",IF(AND(D150&lt;0,B150&lt;&gt;"조정"),"음수 수량(구분으로 방향 표시)",IF(NOT(ISNUMBER(K150)),"단위 확인",IF(AND(OR(B150="입고",B150="기초"),G150=""),"단가 미입력",IF(OR(A150&lt;상품·기준!$C$14,A150&gt;상품·기준!$C$15),"기간 밖",IF(AND(H150&lt;&gt;"아니오",C150&lt;&gt;"",COUNTIFS($C$7:$C$306,C150,$B$7:$B$306,B150,$F$7:$F$306,F150,$H$7:$H$306,"&lt;&gt;아니오")&gt;1),"중복 의심(같은 문서번호·구분·상태)","정상")))))))))))</f>
        <v/>
      </c>
      <c r="N150" s="15" t="str">
        <f t="shared" si="5"/>
        <v/>
      </c>
    </row>
    <row r="151" spans="1:14">
      <c r="A151" s="7"/>
      <c r="B151" s="3"/>
      <c r="C151" s="3"/>
      <c r="D151" s="3"/>
      <c r="E151" s="3"/>
      <c r="F151" s="3"/>
      <c r="G151" s="6"/>
      <c r="H151" s="3"/>
      <c r="I151" s="3"/>
      <c r="J151" s="3"/>
      <c r="K151" s="4" t="str">
        <f>IF(AND(D151="",E151=""),"",IF(E151="",1,IFERROR(INDEX(상품·기준!$C$35:$C$38,MATCH(E151,상품·기준!$A$35:$A$38,0)),"단위 확인")))</f>
        <v/>
      </c>
      <c r="L151" s="4" t="str">
        <f t="shared" si="4"/>
        <v/>
      </c>
      <c r="M151" s="4" t="str">
        <f>IF(COUNTA(A151:J151)=0,"",IF(A151="","날짜 미입력",IF(NOT(ISNUMBER(A151)),"날짜 확인(날짜 형식이 아님)",IF(B151="","구분 미입력",IF(D151="","수량 미입력",IF(NOT(ISNUMBER(D151)),"수량 확인(숫자가 아님)",IF(AND(D151&lt;0,B151&lt;&gt;"조정"),"음수 수량(구분으로 방향 표시)",IF(NOT(ISNUMBER(K151)),"단위 확인",IF(AND(OR(B151="입고",B151="기초"),G151=""),"단가 미입력",IF(OR(A151&lt;상품·기준!$C$14,A151&gt;상품·기준!$C$15),"기간 밖",IF(AND(H151&lt;&gt;"아니오",C151&lt;&gt;"",COUNTIFS($C$7:$C$306,C151,$B$7:$B$306,B151,$F$7:$F$306,F151,$H$7:$H$306,"&lt;&gt;아니오")&gt;1),"중복 의심(같은 문서번호·구분·상태)","정상")))))))))))</f>
        <v/>
      </c>
      <c r="N151" s="15" t="str">
        <f t="shared" si="5"/>
        <v/>
      </c>
    </row>
    <row r="152" spans="1:14">
      <c r="A152" s="7"/>
      <c r="B152" s="3"/>
      <c r="C152" s="3"/>
      <c r="D152" s="3"/>
      <c r="E152" s="3"/>
      <c r="F152" s="3"/>
      <c r="G152" s="6"/>
      <c r="H152" s="3"/>
      <c r="I152" s="3"/>
      <c r="J152" s="3"/>
      <c r="K152" s="4" t="str">
        <f>IF(AND(D152="",E152=""),"",IF(E152="",1,IFERROR(INDEX(상품·기준!$C$35:$C$38,MATCH(E152,상품·기준!$A$35:$A$38,0)),"단위 확인")))</f>
        <v/>
      </c>
      <c r="L152" s="4" t="str">
        <f t="shared" si="4"/>
        <v/>
      </c>
      <c r="M152" s="4" t="str">
        <f>IF(COUNTA(A152:J152)=0,"",IF(A152="","날짜 미입력",IF(NOT(ISNUMBER(A152)),"날짜 확인(날짜 형식이 아님)",IF(B152="","구분 미입력",IF(D152="","수량 미입력",IF(NOT(ISNUMBER(D152)),"수량 확인(숫자가 아님)",IF(AND(D152&lt;0,B152&lt;&gt;"조정"),"음수 수량(구분으로 방향 표시)",IF(NOT(ISNUMBER(K152)),"단위 확인",IF(AND(OR(B152="입고",B152="기초"),G152=""),"단가 미입력",IF(OR(A152&lt;상품·기준!$C$14,A152&gt;상품·기준!$C$15),"기간 밖",IF(AND(H152&lt;&gt;"아니오",C152&lt;&gt;"",COUNTIFS($C$7:$C$306,C152,$B$7:$B$306,B152,$F$7:$F$306,F152,$H$7:$H$306,"&lt;&gt;아니오")&gt;1),"중복 의심(같은 문서번호·구분·상태)","정상")))))))))))</f>
        <v/>
      </c>
      <c r="N152" s="15" t="str">
        <f t="shared" si="5"/>
        <v/>
      </c>
    </row>
    <row r="153" spans="1:14">
      <c r="A153" s="7"/>
      <c r="B153" s="3"/>
      <c r="C153" s="3"/>
      <c r="D153" s="3"/>
      <c r="E153" s="3"/>
      <c r="F153" s="3"/>
      <c r="G153" s="6"/>
      <c r="H153" s="3"/>
      <c r="I153" s="3"/>
      <c r="J153" s="3"/>
      <c r="K153" s="4" t="str">
        <f>IF(AND(D153="",E153=""),"",IF(E153="",1,IFERROR(INDEX(상품·기준!$C$35:$C$38,MATCH(E153,상품·기준!$A$35:$A$38,0)),"단위 확인")))</f>
        <v/>
      </c>
      <c r="L153" s="4" t="str">
        <f t="shared" si="4"/>
        <v/>
      </c>
      <c r="M153" s="4" t="str">
        <f>IF(COUNTA(A153:J153)=0,"",IF(A153="","날짜 미입력",IF(NOT(ISNUMBER(A153)),"날짜 확인(날짜 형식이 아님)",IF(B153="","구분 미입력",IF(D153="","수량 미입력",IF(NOT(ISNUMBER(D153)),"수량 확인(숫자가 아님)",IF(AND(D153&lt;0,B153&lt;&gt;"조정"),"음수 수량(구분으로 방향 표시)",IF(NOT(ISNUMBER(K153)),"단위 확인",IF(AND(OR(B153="입고",B153="기초"),G153=""),"단가 미입력",IF(OR(A153&lt;상품·기준!$C$14,A153&gt;상품·기준!$C$15),"기간 밖",IF(AND(H153&lt;&gt;"아니오",C153&lt;&gt;"",COUNTIFS($C$7:$C$306,C153,$B$7:$B$306,B153,$F$7:$F$306,F153,$H$7:$H$306,"&lt;&gt;아니오")&gt;1),"중복 의심(같은 문서번호·구분·상태)","정상")))))))))))</f>
        <v/>
      </c>
      <c r="N153" s="15" t="str">
        <f t="shared" si="5"/>
        <v/>
      </c>
    </row>
    <row r="154" spans="1:14">
      <c r="A154" s="7"/>
      <c r="B154" s="3"/>
      <c r="C154" s="3"/>
      <c r="D154" s="3"/>
      <c r="E154" s="3"/>
      <c r="F154" s="3"/>
      <c r="G154" s="6"/>
      <c r="H154" s="3"/>
      <c r="I154" s="3"/>
      <c r="J154" s="3"/>
      <c r="K154" s="4" t="str">
        <f>IF(AND(D154="",E154=""),"",IF(E154="",1,IFERROR(INDEX(상품·기준!$C$35:$C$38,MATCH(E154,상품·기준!$A$35:$A$38,0)),"단위 확인")))</f>
        <v/>
      </c>
      <c r="L154" s="4" t="str">
        <f t="shared" si="4"/>
        <v/>
      </c>
      <c r="M154" s="4" t="str">
        <f>IF(COUNTA(A154:J154)=0,"",IF(A154="","날짜 미입력",IF(NOT(ISNUMBER(A154)),"날짜 확인(날짜 형식이 아님)",IF(B154="","구분 미입력",IF(D154="","수량 미입력",IF(NOT(ISNUMBER(D154)),"수량 확인(숫자가 아님)",IF(AND(D154&lt;0,B154&lt;&gt;"조정"),"음수 수량(구분으로 방향 표시)",IF(NOT(ISNUMBER(K154)),"단위 확인",IF(AND(OR(B154="입고",B154="기초"),G154=""),"단가 미입력",IF(OR(A154&lt;상품·기준!$C$14,A154&gt;상품·기준!$C$15),"기간 밖",IF(AND(H154&lt;&gt;"아니오",C154&lt;&gt;"",COUNTIFS($C$7:$C$306,C154,$B$7:$B$306,B154,$F$7:$F$306,F154,$H$7:$H$306,"&lt;&gt;아니오")&gt;1),"중복 의심(같은 문서번호·구분·상태)","정상")))))))))))</f>
        <v/>
      </c>
      <c r="N154" s="15" t="str">
        <f t="shared" si="5"/>
        <v/>
      </c>
    </row>
    <row r="155" spans="1:14">
      <c r="A155" s="7"/>
      <c r="B155" s="3"/>
      <c r="C155" s="3"/>
      <c r="D155" s="3"/>
      <c r="E155" s="3"/>
      <c r="F155" s="3"/>
      <c r="G155" s="6"/>
      <c r="H155" s="3"/>
      <c r="I155" s="3"/>
      <c r="J155" s="3"/>
      <c r="K155" s="4" t="str">
        <f>IF(AND(D155="",E155=""),"",IF(E155="",1,IFERROR(INDEX(상품·기준!$C$35:$C$38,MATCH(E155,상품·기준!$A$35:$A$38,0)),"단위 확인")))</f>
        <v/>
      </c>
      <c r="L155" s="4" t="str">
        <f t="shared" si="4"/>
        <v/>
      </c>
      <c r="M155" s="4" t="str">
        <f>IF(COUNTA(A155:J155)=0,"",IF(A155="","날짜 미입력",IF(NOT(ISNUMBER(A155)),"날짜 확인(날짜 형식이 아님)",IF(B155="","구분 미입력",IF(D155="","수량 미입력",IF(NOT(ISNUMBER(D155)),"수량 확인(숫자가 아님)",IF(AND(D155&lt;0,B155&lt;&gt;"조정"),"음수 수량(구분으로 방향 표시)",IF(NOT(ISNUMBER(K155)),"단위 확인",IF(AND(OR(B155="입고",B155="기초"),G155=""),"단가 미입력",IF(OR(A155&lt;상품·기준!$C$14,A155&gt;상품·기준!$C$15),"기간 밖",IF(AND(H155&lt;&gt;"아니오",C155&lt;&gt;"",COUNTIFS($C$7:$C$306,C155,$B$7:$B$306,B155,$F$7:$F$306,F155,$H$7:$H$306,"&lt;&gt;아니오")&gt;1),"중복 의심(같은 문서번호·구분·상태)","정상")))))))))))</f>
        <v/>
      </c>
      <c r="N155" s="15" t="str">
        <f t="shared" si="5"/>
        <v/>
      </c>
    </row>
    <row r="156" spans="1:14">
      <c r="A156" s="7"/>
      <c r="B156" s="3"/>
      <c r="C156" s="3"/>
      <c r="D156" s="3"/>
      <c r="E156" s="3"/>
      <c r="F156" s="3"/>
      <c r="G156" s="6"/>
      <c r="H156" s="3"/>
      <c r="I156" s="3"/>
      <c r="J156" s="3"/>
      <c r="K156" s="4" t="str">
        <f>IF(AND(D156="",E156=""),"",IF(E156="",1,IFERROR(INDEX(상품·기준!$C$35:$C$38,MATCH(E156,상품·기준!$A$35:$A$38,0)),"단위 확인")))</f>
        <v/>
      </c>
      <c r="L156" s="4" t="str">
        <f t="shared" si="4"/>
        <v/>
      </c>
      <c r="M156" s="4" t="str">
        <f>IF(COUNTA(A156:J156)=0,"",IF(A156="","날짜 미입력",IF(NOT(ISNUMBER(A156)),"날짜 확인(날짜 형식이 아님)",IF(B156="","구분 미입력",IF(D156="","수량 미입력",IF(NOT(ISNUMBER(D156)),"수량 확인(숫자가 아님)",IF(AND(D156&lt;0,B156&lt;&gt;"조정"),"음수 수량(구분으로 방향 표시)",IF(NOT(ISNUMBER(K156)),"단위 확인",IF(AND(OR(B156="입고",B156="기초"),G156=""),"단가 미입력",IF(OR(A156&lt;상품·기준!$C$14,A156&gt;상품·기준!$C$15),"기간 밖",IF(AND(H156&lt;&gt;"아니오",C156&lt;&gt;"",COUNTIFS($C$7:$C$306,C156,$B$7:$B$306,B156,$F$7:$F$306,F156,$H$7:$H$306,"&lt;&gt;아니오")&gt;1),"중복 의심(같은 문서번호·구분·상태)","정상")))))))))))</f>
        <v/>
      </c>
      <c r="N156" s="15" t="str">
        <f t="shared" si="5"/>
        <v/>
      </c>
    </row>
    <row r="157" spans="1:14">
      <c r="A157" s="7"/>
      <c r="B157" s="3"/>
      <c r="C157" s="3"/>
      <c r="D157" s="3"/>
      <c r="E157" s="3"/>
      <c r="F157" s="3"/>
      <c r="G157" s="6"/>
      <c r="H157" s="3"/>
      <c r="I157" s="3"/>
      <c r="J157" s="3"/>
      <c r="K157" s="4" t="str">
        <f>IF(AND(D157="",E157=""),"",IF(E157="",1,IFERROR(INDEX(상품·기준!$C$35:$C$38,MATCH(E157,상품·기준!$A$35:$A$38,0)),"단위 확인")))</f>
        <v/>
      </c>
      <c r="L157" s="4" t="str">
        <f t="shared" si="4"/>
        <v/>
      </c>
      <c r="M157" s="4" t="str">
        <f>IF(COUNTA(A157:J157)=0,"",IF(A157="","날짜 미입력",IF(NOT(ISNUMBER(A157)),"날짜 확인(날짜 형식이 아님)",IF(B157="","구분 미입력",IF(D157="","수량 미입력",IF(NOT(ISNUMBER(D157)),"수량 확인(숫자가 아님)",IF(AND(D157&lt;0,B157&lt;&gt;"조정"),"음수 수량(구분으로 방향 표시)",IF(NOT(ISNUMBER(K157)),"단위 확인",IF(AND(OR(B157="입고",B157="기초"),G157=""),"단가 미입력",IF(OR(A157&lt;상품·기준!$C$14,A157&gt;상품·기준!$C$15),"기간 밖",IF(AND(H157&lt;&gt;"아니오",C157&lt;&gt;"",COUNTIFS($C$7:$C$306,C157,$B$7:$B$306,B157,$F$7:$F$306,F157,$H$7:$H$306,"&lt;&gt;아니오")&gt;1),"중복 의심(같은 문서번호·구분·상태)","정상")))))))))))</f>
        <v/>
      </c>
      <c r="N157" s="15" t="str">
        <f t="shared" si="5"/>
        <v/>
      </c>
    </row>
    <row r="158" spans="1:14">
      <c r="A158" s="7"/>
      <c r="B158" s="3"/>
      <c r="C158" s="3"/>
      <c r="D158" s="3"/>
      <c r="E158" s="3"/>
      <c r="F158" s="3"/>
      <c r="G158" s="6"/>
      <c r="H158" s="3"/>
      <c r="I158" s="3"/>
      <c r="J158" s="3"/>
      <c r="K158" s="4" t="str">
        <f>IF(AND(D158="",E158=""),"",IF(E158="",1,IFERROR(INDEX(상품·기준!$C$35:$C$38,MATCH(E158,상품·기준!$A$35:$A$38,0)),"단위 확인")))</f>
        <v/>
      </c>
      <c r="L158" s="4" t="str">
        <f t="shared" si="4"/>
        <v/>
      </c>
      <c r="M158" s="4" t="str">
        <f>IF(COUNTA(A158:J158)=0,"",IF(A158="","날짜 미입력",IF(NOT(ISNUMBER(A158)),"날짜 확인(날짜 형식이 아님)",IF(B158="","구분 미입력",IF(D158="","수량 미입력",IF(NOT(ISNUMBER(D158)),"수량 확인(숫자가 아님)",IF(AND(D158&lt;0,B158&lt;&gt;"조정"),"음수 수량(구분으로 방향 표시)",IF(NOT(ISNUMBER(K158)),"단위 확인",IF(AND(OR(B158="입고",B158="기초"),G158=""),"단가 미입력",IF(OR(A158&lt;상품·기준!$C$14,A158&gt;상품·기준!$C$15),"기간 밖",IF(AND(H158&lt;&gt;"아니오",C158&lt;&gt;"",COUNTIFS($C$7:$C$306,C158,$B$7:$B$306,B158,$F$7:$F$306,F158,$H$7:$H$306,"&lt;&gt;아니오")&gt;1),"중복 의심(같은 문서번호·구분·상태)","정상")))))))))))</f>
        <v/>
      </c>
      <c r="N158" s="15" t="str">
        <f t="shared" si="5"/>
        <v/>
      </c>
    </row>
    <row r="159" spans="1:14">
      <c r="A159" s="7"/>
      <c r="B159" s="3"/>
      <c r="C159" s="3"/>
      <c r="D159" s="3"/>
      <c r="E159" s="3"/>
      <c r="F159" s="3"/>
      <c r="G159" s="6"/>
      <c r="H159" s="3"/>
      <c r="I159" s="3"/>
      <c r="J159" s="3"/>
      <c r="K159" s="4" t="str">
        <f>IF(AND(D159="",E159=""),"",IF(E159="",1,IFERROR(INDEX(상품·기준!$C$35:$C$38,MATCH(E159,상품·기준!$A$35:$A$38,0)),"단위 확인")))</f>
        <v/>
      </c>
      <c r="L159" s="4" t="str">
        <f t="shared" si="4"/>
        <v/>
      </c>
      <c r="M159" s="4" t="str">
        <f>IF(COUNTA(A159:J159)=0,"",IF(A159="","날짜 미입력",IF(NOT(ISNUMBER(A159)),"날짜 확인(날짜 형식이 아님)",IF(B159="","구분 미입력",IF(D159="","수량 미입력",IF(NOT(ISNUMBER(D159)),"수량 확인(숫자가 아님)",IF(AND(D159&lt;0,B159&lt;&gt;"조정"),"음수 수량(구분으로 방향 표시)",IF(NOT(ISNUMBER(K159)),"단위 확인",IF(AND(OR(B159="입고",B159="기초"),G159=""),"단가 미입력",IF(OR(A159&lt;상품·기준!$C$14,A159&gt;상품·기준!$C$15),"기간 밖",IF(AND(H159&lt;&gt;"아니오",C159&lt;&gt;"",COUNTIFS($C$7:$C$306,C159,$B$7:$B$306,B159,$F$7:$F$306,F159,$H$7:$H$306,"&lt;&gt;아니오")&gt;1),"중복 의심(같은 문서번호·구분·상태)","정상")))))))))))</f>
        <v/>
      </c>
      <c r="N159" s="15" t="str">
        <f t="shared" si="5"/>
        <v/>
      </c>
    </row>
    <row r="160" spans="1:14">
      <c r="A160" s="7"/>
      <c r="B160" s="3"/>
      <c r="C160" s="3"/>
      <c r="D160" s="3"/>
      <c r="E160" s="3"/>
      <c r="F160" s="3"/>
      <c r="G160" s="6"/>
      <c r="H160" s="3"/>
      <c r="I160" s="3"/>
      <c r="J160" s="3"/>
      <c r="K160" s="4" t="str">
        <f>IF(AND(D160="",E160=""),"",IF(E160="",1,IFERROR(INDEX(상품·기준!$C$35:$C$38,MATCH(E160,상품·기준!$A$35:$A$38,0)),"단위 확인")))</f>
        <v/>
      </c>
      <c r="L160" s="4" t="str">
        <f t="shared" si="4"/>
        <v/>
      </c>
      <c r="M160" s="4" t="str">
        <f>IF(COUNTA(A160:J160)=0,"",IF(A160="","날짜 미입력",IF(NOT(ISNUMBER(A160)),"날짜 확인(날짜 형식이 아님)",IF(B160="","구분 미입력",IF(D160="","수량 미입력",IF(NOT(ISNUMBER(D160)),"수량 확인(숫자가 아님)",IF(AND(D160&lt;0,B160&lt;&gt;"조정"),"음수 수량(구분으로 방향 표시)",IF(NOT(ISNUMBER(K160)),"단위 확인",IF(AND(OR(B160="입고",B160="기초"),G160=""),"단가 미입력",IF(OR(A160&lt;상품·기준!$C$14,A160&gt;상품·기준!$C$15),"기간 밖",IF(AND(H160&lt;&gt;"아니오",C160&lt;&gt;"",COUNTIFS($C$7:$C$306,C160,$B$7:$B$306,B160,$F$7:$F$306,F160,$H$7:$H$306,"&lt;&gt;아니오")&gt;1),"중복 의심(같은 문서번호·구분·상태)","정상")))))))))))</f>
        <v/>
      </c>
      <c r="N160" s="15" t="str">
        <f t="shared" si="5"/>
        <v/>
      </c>
    </row>
    <row r="161" spans="1:14">
      <c r="A161" s="7"/>
      <c r="B161" s="3"/>
      <c r="C161" s="3"/>
      <c r="D161" s="3"/>
      <c r="E161" s="3"/>
      <c r="F161" s="3"/>
      <c r="G161" s="6"/>
      <c r="H161" s="3"/>
      <c r="I161" s="3"/>
      <c r="J161" s="3"/>
      <c r="K161" s="4" t="str">
        <f>IF(AND(D161="",E161=""),"",IF(E161="",1,IFERROR(INDEX(상품·기준!$C$35:$C$38,MATCH(E161,상품·기준!$A$35:$A$38,0)),"단위 확인")))</f>
        <v/>
      </c>
      <c r="L161" s="4" t="str">
        <f t="shared" si="4"/>
        <v/>
      </c>
      <c r="M161" s="4" t="str">
        <f>IF(COUNTA(A161:J161)=0,"",IF(A161="","날짜 미입력",IF(NOT(ISNUMBER(A161)),"날짜 확인(날짜 형식이 아님)",IF(B161="","구분 미입력",IF(D161="","수량 미입력",IF(NOT(ISNUMBER(D161)),"수량 확인(숫자가 아님)",IF(AND(D161&lt;0,B161&lt;&gt;"조정"),"음수 수량(구분으로 방향 표시)",IF(NOT(ISNUMBER(K161)),"단위 확인",IF(AND(OR(B161="입고",B161="기초"),G161=""),"단가 미입력",IF(OR(A161&lt;상품·기준!$C$14,A161&gt;상품·기준!$C$15),"기간 밖",IF(AND(H161&lt;&gt;"아니오",C161&lt;&gt;"",COUNTIFS($C$7:$C$306,C161,$B$7:$B$306,B161,$F$7:$F$306,F161,$H$7:$H$306,"&lt;&gt;아니오")&gt;1),"중복 의심(같은 문서번호·구분·상태)","정상")))))))))))</f>
        <v/>
      </c>
      <c r="N161" s="15" t="str">
        <f t="shared" si="5"/>
        <v/>
      </c>
    </row>
    <row r="162" spans="1:14">
      <c r="A162" s="7"/>
      <c r="B162" s="3"/>
      <c r="C162" s="3"/>
      <c r="D162" s="3"/>
      <c r="E162" s="3"/>
      <c r="F162" s="3"/>
      <c r="G162" s="6"/>
      <c r="H162" s="3"/>
      <c r="I162" s="3"/>
      <c r="J162" s="3"/>
      <c r="K162" s="4" t="str">
        <f>IF(AND(D162="",E162=""),"",IF(E162="",1,IFERROR(INDEX(상품·기준!$C$35:$C$38,MATCH(E162,상품·기준!$A$35:$A$38,0)),"단위 확인")))</f>
        <v/>
      </c>
      <c r="L162" s="4" t="str">
        <f t="shared" si="4"/>
        <v/>
      </c>
      <c r="M162" s="4" t="str">
        <f>IF(COUNTA(A162:J162)=0,"",IF(A162="","날짜 미입력",IF(NOT(ISNUMBER(A162)),"날짜 확인(날짜 형식이 아님)",IF(B162="","구분 미입력",IF(D162="","수량 미입력",IF(NOT(ISNUMBER(D162)),"수량 확인(숫자가 아님)",IF(AND(D162&lt;0,B162&lt;&gt;"조정"),"음수 수량(구분으로 방향 표시)",IF(NOT(ISNUMBER(K162)),"단위 확인",IF(AND(OR(B162="입고",B162="기초"),G162=""),"단가 미입력",IF(OR(A162&lt;상품·기준!$C$14,A162&gt;상품·기준!$C$15),"기간 밖",IF(AND(H162&lt;&gt;"아니오",C162&lt;&gt;"",COUNTIFS($C$7:$C$306,C162,$B$7:$B$306,B162,$F$7:$F$306,F162,$H$7:$H$306,"&lt;&gt;아니오")&gt;1),"중복 의심(같은 문서번호·구분·상태)","정상")))))))))))</f>
        <v/>
      </c>
      <c r="N162" s="15" t="str">
        <f t="shared" si="5"/>
        <v/>
      </c>
    </row>
    <row r="163" spans="1:14">
      <c r="A163" s="7"/>
      <c r="B163" s="3"/>
      <c r="C163" s="3"/>
      <c r="D163" s="3"/>
      <c r="E163" s="3"/>
      <c r="F163" s="3"/>
      <c r="G163" s="6"/>
      <c r="H163" s="3"/>
      <c r="I163" s="3"/>
      <c r="J163" s="3"/>
      <c r="K163" s="4" t="str">
        <f>IF(AND(D163="",E163=""),"",IF(E163="",1,IFERROR(INDEX(상품·기준!$C$35:$C$38,MATCH(E163,상품·기준!$A$35:$A$38,0)),"단위 확인")))</f>
        <v/>
      </c>
      <c r="L163" s="4" t="str">
        <f t="shared" si="4"/>
        <v/>
      </c>
      <c r="M163" s="4" t="str">
        <f>IF(COUNTA(A163:J163)=0,"",IF(A163="","날짜 미입력",IF(NOT(ISNUMBER(A163)),"날짜 확인(날짜 형식이 아님)",IF(B163="","구분 미입력",IF(D163="","수량 미입력",IF(NOT(ISNUMBER(D163)),"수량 확인(숫자가 아님)",IF(AND(D163&lt;0,B163&lt;&gt;"조정"),"음수 수량(구분으로 방향 표시)",IF(NOT(ISNUMBER(K163)),"단위 확인",IF(AND(OR(B163="입고",B163="기초"),G163=""),"단가 미입력",IF(OR(A163&lt;상품·기준!$C$14,A163&gt;상품·기준!$C$15),"기간 밖",IF(AND(H163&lt;&gt;"아니오",C163&lt;&gt;"",COUNTIFS($C$7:$C$306,C163,$B$7:$B$306,B163,$F$7:$F$306,F163,$H$7:$H$306,"&lt;&gt;아니오")&gt;1),"중복 의심(같은 문서번호·구분·상태)","정상")))))))))))</f>
        <v/>
      </c>
      <c r="N163" s="15" t="str">
        <f t="shared" si="5"/>
        <v/>
      </c>
    </row>
    <row r="164" spans="1:14">
      <c r="A164" s="7"/>
      <c r="B164" s="3"/>
      <c r="C164" s="3"/>
      <c r="D164" s="3"/>
      <c r="E164" s="3"/>
      <c r="F164" s="3"/>
      <c r="G164" s="6"/>
      <c r="H164" s="3"/>
      <c r="I164" s="3"/>
      <c r="J164" s="3"/>
      <c r="K164" s="4" t="str">
        <f>IF(AND(D164="",E164=""),"",IF(E164="",1,IFERROR(INDEX(상품·기준!$C$35:$C$38,MATCH(E164,상품·기준!$A$35:$A$38,0)),"단위 확인")))</f>
        <v/>
      </c>
      <c r="L164" s="4" t="str">
        <f t="shared" si="4"/>
        <v/>
      </c>
      <c r="M164" s="4" t="str">
        <f>IF(COUNTA(A164:J164)=0,"",IF(A164="","날짜 미입력",IF(NOT(ISNUMBER(A164)),"날짜 확인(날짜 형식이 아님)",IF(B164="","구분 미입력",IF(D164="","수량 미입력",IF(NOT(ISNUMBER(D164)),"수량 확인(숫자가 아님)",IF(AND(D164&lt;0,B164&lt;&gt;"조정"),"음수 수량(구분으로 방향 표시)",IF(NOT(ISNUMBER(K164)),"단위 확인",IF(AND(OR(B164="입고",B164="기초"),G164=""),"단가 미입력",IF(OR(A164&lt;상품·기준!$C$14,A164&gt;상품·기준!$C$15),"기간 밖",IF(AND(H164&lt;&gt;"아니오",C164&lt;&gt;"",COUNTIFS($C$7:$C$306,C164,$B$7:$B$306,B164,$F$7:$F$306,F164,$H$7:$H$306,"&lt;&gt;아니오")&gt;1),"중복 의심(같은 문서번호·구분·상태)","정상")))))))))))</f>
        <v/>
      </c>
      <c r="N164" s="15" t="str">
        <f t="shared" si="5"/>
        <v/>
      </c>
    </row>
    <row r="165" spans="1:14">
      <c r="A165" s="7"/>
      <c r="B165" s="3"/>
      <c r="C165" s="3"/>
      <c r="D165" s="3"/>
      <c r="E165" s="3"/>
      <c r="F165" s="3"/>
      <c r="G165" s="6"/>
      <c r="H165" s="3"/>
      <c r="I165" s="3"/>
      <c r="J165" s="3"/>
      <c r="K165" s="4" t="str">
        <f>IF(AND(D165="",E165=""),"",IF(E165="",1,IFERROR(INDEX(상품·기준!$C$35:$C$38,MATCH(E165,상품·기준!$A$35:$A$38,0)),"단위 확인")))</f>
        <v/>
      </c>
      <c r="L165" s="4" t="str">
        <f t="shared" si="4"/>
        <v/>
      </c>
      <c r="M165" s="4" t="str">
        <f>IF(COUNTA(A165:J165)=0,"",IF(A165="","날짜 미입력",IF(NOT(ISNUMBER(A165)),"날짜 확인(날짜 형식이 아님)",IF(B165="","구분 미입력",IF(D165="","수량 미입력",IF(NOT(ISNUMBER(D165)),"수량 확인(숫자가 아님)",IF(AND(D165&lt;0,B165&lt;&gt;"조정"),"음수 수량(구분으로 방향 표시)",IF(NOT(ISNUMBER(K165)),"단위 확인",IF(AND(OR(B165="입고",B165="기초"),G165=""),"단가 미입력",IF(OR(A165&lt;상품·기준!$C$14,A165&gt;상품·기준!$C$15),"기간 밖",IF(AND(H165&lt;&gt;"아니오",C165&lt;&gt;"",COUNTIFS($C$7:$C$306,C165,$B$7:$B$306,B165,$F$7:$F$306,F165,$H$7:$H$306,"&lt;&gt;아니오")&gt;1),"중복 의심(같은 문서번호·구분·상태)","정상")))))))))))</f>
        <v/>
      </c>
      <c r="N165" s="15" t="str">
        <f t="shared" si="5"/>
        <v/>
      </c>
    </row>
    <row r="166" spans="1:14">
      <c r="A166" s="7"/>
      <c r="B166" s="3"/>
      <c r="C166" s="3"/>
      <c r="D166" s="3"/>
      <c r="E166" s="3"/>
      <c r="F166" s="3"/>
      <c r="G166" s="6"/>
      <c r="H166" s="3"/>
      <c r="I166" s="3"/>
      <c r="J166" s="3"/>
      <c r="K166" s="4" t="str">
        <f>IF(AND(D166="",E166=""),"",IF(E166="",1,IFERROR(INDEX(상품·기준!$C$35:$C$38,MATCH(E166,상품·기준!$A$35:$A$38,0)),"단위 확인")))</f>
        <v/>
      </c>
      <c r="L166" s="4" t="str">
        <f t="shared" si="4"/>
        <v/>
      </c>
      <c r="M166" s="4" t="str">
        <f>IF(COUNTA(A166:J166)=0,"",IF(A166="","날짜 미입력",IF(NOT(ISNUMBER(A166)),"날짜 확인(날짜 형식이 아님)",IF(B166="","구분 미입력",IF(D166="","수량 미입력",IF(NOT(ISNUMBER(D166)),"수량 확인(숫자가 아님)",IF(AND(D166&lt;0,B166&lt;&gt;"조정"),"음수 수량(구분으로 방향 표시)",IF(NOT(ISNUMBER(K166)),"단위 확인",IF(AND(OR(B166="입고",B166="기초"),G166=""),"단가 미입력",IF(OR(A166&lt;상품·기준!$C$14,A166&gt;상품·기준!$C$15),"기간 밖",IF(AND(H166&lt;&gt;"아니오",C166&lt;&gt;"",COUNTIFS($C$7:$C$306,C166,$B$7:$B$306,B166,$F$7:$F$306,F166,$H$7:$H$306,"&lt;&gt;아니오")&gt;1),"중복 의심(같은 문서번호·구분·상태)","정상")))))))))))</f>
        <v/>
      </c>
      <c r="N166" s="15" t="str">
        <f t="shared" si="5"/>
        <v/>
      </c>
    </row>
    <row r="167" spans="1:14">
      <c r="A167" s="7"/>
      <c r="B167" s="3"/>
      <c r="C167" s="3"/>
      <c r="D167" s="3"/>
      <c r="E167" s="3"/>
      <c r="F167" s="3"/>
      <c r="G167" s="6"/>
      <c r="H167" s="3"/>
      <c r="I167" s="3"/>
      <c r="J167" s="3"/>
      <c r="K167" s="4" t="str">
        <f>IF(AND(D167="",E167=""),"",IF(E167="",1,IFERROR(INDEX(상품·기준!$C$35:$C$38,MATCH(E167,상품·기준!$A$35:$A$38,0)),"단위 확인")))</f>
        <v/>
      </c>
      <c r="L167" s="4" t="str">
        <f t="shared" si="4"/>
        <v/>
      </c>
      <c r="M167" s="4" t="str">
        <f>IF(COUNTA(A167:J167)=0,"",IF(A167="","날짜 미입력",IF(NOT(ISNUMBER(A167)),"날짜 확인(날짜 형식이 아님)",IF(B167="","구분 미입력",IF(D167="","수량 미입력",IF(NOT(ISNUMBER(D167)),"수량 확인(숫자가 아님)",IF(AND(D167&lt;0,B167&lt;&gt;"조정"),"음수 수량(구분으로 방향 표시)",IF(NOT(ISNUMBER(K167)),"단위 확인",IF(AND(OR(B167="입고",B167="기초"),G167=""),"단가 미입력",IF(OR(A167&lt;상품·기준!$C$14,A167&gt;상품·기준!$C$15),"기간 밖",IF(AND(H167&lt;&gt;"아니오",C167&lt;&gt;"",COUNTIFS($C$7:$C$306,C167,$B$7:$B$306,B167,$F$7:$F$306,F167,$H$7:$H$306,"&lt;&gt;아니오")&gt;1),"중복 의심(같은 문서번호·구분·상태)","정상")))))))))))</f>
        <v/>
      </c>
      <c r="N167" s="15" t="str">
        <f t="shared" si="5"/>
        <v/>
      </c>
    </row>
    <row r="168" spans="1:14">
      <c r="A168" s="7"/>
      <c r="B168" s="3"/>
      <c r="C168" s="3"/>
      <c r="D168" s="3"/>
      <c r="E168" s="3"/>
      <c r="F168" s="3"/>
      <c r="G168" s="6"/>
      <c r="H168" s="3"/>
      <c r="I168" s="3"/>
      <c r="J168" s="3"/>
      <c r="K168" s="4" t="str">
        <f>IF(AND(D168="",E168=""),"",IF(E168="",1,IFERROR(INDEX(상품·기준!$C$35:$C$38,MATCH(E168,상품·기준!$A$35:$A$38,0)),"단위 확인")))</f>
        <v/>
      </c>
      <c r="L168" s="4" t="str">
        <f t="shared" si="4"/>
        <v/>
      </c>
      <c r="M168" s="4" t="str">
        <f>IF(COUNTA(A168:J168)=0,"",IF(A168="","날짜 미입력",IF(NOT(ISNUMBER(A168)),"날짜 확인(날짜 형식이 아님)",IF(B168="","구분 미입력",IF(D168="","수량 미입력",IF(NOT(ISNUMBER(D168)),"수량 확인(숫자가 아님)",IF(AND(D168&lt;0,B168&lt;&gt;"조정"),"음수 수량(구분으로 방향 표시)",IF(NOT(ISNUMBER(K168)),"단위 확인",IF(AND(OR(B168="입고",B168="기초"),G168=""),"단가 미입력",IF(OR(A168&lt;상품·기준!$C$14,A168&gt;상품·기준!$C$15),"기간 밖",IF(AND(H168&lt;&gt;"아니오",C168&lt;&gt;"",COUNTIFS($C$7:$C$306,C168,$B$7:$B$306,B168,$F$7:$F$306,F168,$H$7:$H$306,"&lt;&gt;아니오")&gt;1),"중복 의심(같은 문서번호·구분·상태)","정상")))))))))))</f>
        <v/>
      </c>
      <c r="N168" s="15" t="str">
        <f t="shared" si="5"/>
        <v/>
      </c>
    </row>
    <row r="169" spans="1:14">
      <c r="A169" s="7"/>
      <c r="B169" s="3"/>
      <c r="C169" s="3"/>
      <c r="D169" s="3"/>
      <c r="E169" s="3"/>
      <c r="F169" s="3"/>
      <c r="G169" s="6"/>
      <c r="H169" s="3"/>
      <c r="I169" s="3"/>
      <c r="J169" s="3"/>
      <c r="K169" s="4" t="str">
        <f>IF(AND(D169="",E169=""),"",IF(E169="",1,IFERROR(INDEX(상품·기준!$C$35:$C$38,MATCH(E169,상품·기준!$A$35:$A$38,0)),"단위 확인")))</f>
        <v/>
      </c>
      <c r="L169" s="4" t="str">
        <f t="shared" si="4"/>
        <v/>
      </c>
      <c r="M169" s="4" t="str">
        <f>IF(COUNTA(A169:J169)=0,"",IF(A169="","날짜 미입력",IF(NOT(ISNUMBER(A169)),"날짜 확인(날짜 형식이 아님)",IF(B169="","구분 미입력",IF(D169="","수량 미입력",IF(NOT(ISNUMBER(D169)),"수량 확인(숫자가 아님)",IF(AND(D169&lt;0,B169&lt;&gt;"조정"),"음수 수량(구분으로 방향 표시)",IF(NOT(ISNUMBER(K169)),"단위 확인",IF(AND(OR(B169="입고",B169="기초"),G169=""),"단가 미입력",IF(OR(A169&lt;상품·기준!$C$14,A169&gt;상품·기준!$C$15),"기간 밖",IF(AND(H169&lt;&gt;"아니오",C169&lt;&gt;"",COUNTIFS($C$7:$C$306,C169,$B$7:$B$306,B169,$F$7:$F$306,F169,$H$7:$H$306,"&lt;&gt;아니오")&gt;1),"중복 의심(같은 문서번호·구분·상태)","정상")))))))))))</f>
        <v/>
      </c>
      <c r="N169" s="15" t="str">
        <f t="shared" si="5"/>
        <v/>
      </c>
    </row>
    <row r="170" spans="1:14">
      <c r="A170" s="7"/>
      <c r="B170" s="3"/>
      <c r="C170" s="3"/>
      <c r="D170" s="3"/>
      <c r="E170" s="3"/>
      <c r="F170" s="3"/>
      <c r="G170" s="6"/>
      <c r="H170" s="3"/>
      <c r="I170" s="3"/>
      <c r="J170" s="3"/>
      <c r="K170" s="4" t="str">
        <f>IF(AND(D170="",E170=""),"",IF(E170="",1,IFERROR(INDEX(상품·기준!$C$35:$C$38,MATCH(E170,상품·기준!$A$35:$A$38,0)),"단위 확인")))</f>
        <v/>
      </c>
      <c r="L170" s="4" t="str">
        <f t="shared" si="4"/>
        <v/>
      </c>
      <c r="M170" s="4" t="str">
        <f>IF(COUNTA(A170:J170)=0,"",IF(A170="","날짜 미입력",IF(NOT(ISNUMBER(A170)),"날짜 확인(날짜 형식이 아님)",IF(B170="","구분 미입력",IF(D170="","수량 미입력",IF(NOT(ISNUMBER(D170)),"수량 확인(숫자가 아님)",IF(AND(D170&lt;0,B170&lt;&gt;"조정"),"음수 수량(구분으로 방향 표시)",IF(NOT(ISNUMBER(K170)),"단위 확인",IF(AND(OR(B170="입고",B170="기초"),G170=""),"단가 미입력",IF(OR(A170&lt;상품·기준!$C$14,A170&gt;상품·기준!$C$15),"기간 밖",IF(AND(H170&lt;&gt;"아니오",C170&lt;&gt;"",COUNTIFS($C$7:$C$306,C170,$B$7:$B$306,B170,$F$7:$F$306,F170,$H$7:$H$306,"&lt;&gt;아니오")&gt;1),"중복 의심(같은 문서번호·구분·상태)","정상")))))))))))</f>
        <v/>
      </c>
      <c r="N170" s="15" t="str">
        <f t="shared" si="5"/>
        <v/>
      </c>
    </row>
    <row r="171" spans="1:14">
      <c r="A171" s="7"/>
      <c r="B171" s="3"/>
      <c r="C171" s="3"/>
      <c r="D171" s="3"/>
      <c r="E171" s="3"/>
      <c r="F171" s="3"/>
      <c r="G171" s="6"/>
      <c r="H171" s="3"/>
      <c r="I171" s="3"/>
      <c r="J171" s="3"/>
      <c r="K171" s="4" t="str">
        <f>IF(AND(D171="",E171=""),"",IF(E171="",1,IFERROR(INDEX(상품·기준!$C$35:$C$38,MATCH(E171,상품·기준!$A$35:$A$38,0)),"단위 확인")))</f>
        <v/>
      </c>
      <c r="L171" s="4" t="str">
        <f t="shared" si="4"/>
        <v/>
      </c>
      <c r="M171" s="4" t="str">
        <f>IF(COUNTA(A171:J171)=0,"",IF(A171="","날짜 미입력",IF(NOT(ISNUMBER(A171)),"날짜 확인(날짜 형식이 아님)",IF(B171="","구분 미입력",IF(D171="","수량 미입력",IF(NOT(ISNUMBER(D171)),"수량 확인(숫자가 아님)",IF(AND(D171&lt;0,B171&lt;&gt;"조정"),"음수 수량(구분으로 방향 표시)",IF(NOT(ISNUMBER(K171)),"단위 확인",IF(AND(OR(B171="입고",B171="기초"),G171=""),"단가 미입력",IF(OR(A171&lt;상품·기준!$C$14,A171&gt;상품·기준!$C$15),"기간 밖",IF(AND(H171&lt;&gt;"아니오",C171&lt;&gt;"",COUNTIFS($C$7:$C$306,C171,$B$7:$B$306,B171,$F$7:$F$306,F171,$H$7:$H$306,"&lt;&gt;아니오")&gt;1),"중복 의심(같은 문서번호·구분·상태)","정상")))))))))))</f>
        <v/>
      </c>
      <c r="N171" s="15" t="str">
        <f t="shared" si="5"/>
        <v/>
      </c>
    </row>
    <row r="172" spans="1:14">
      <c r="A172" s="7"/>
      <c r="B172" s="3"/>
      <c r="C172" s="3"/>
      <c r="D172" s="3"/>
      <c r="E172" s="3"/>
      <c r="F172" s="3"/>
      <c r="G172" s="6"/>
      <c r="H172" s="3"/>
      <c r="I172" s="3"/>
      <c r="J172" s="3"/>
      <c r="K172" s="4" t="str">
        <f>IF(AND(D172="",E172=""),"",IF(E172="",1,IFERROR(INDEX(상품·기준!$C$35:$C$38,MATCH(E172,상품·기준!$A$35:$A$38,0)),"단위 확인")))</f>
        <v/>
      </c>
      <c r="L172" s="4" t="str">
        <f t="shared" si="4"/>
        <v/>
      </c>
      <c r="M172" s="4" t="str">
        <f>IF(COUNTA(A172:J172)=0,"",IF(A172="","날짜 미입력",IF(NOT(ISNUMBER(A172)),"날짜 확인(날짜 형식이 아님)",IF(B172="","구분 미입력",IF(D172="","수량 미입력",IF(NOT(ISNUMBER(D172)),"수량 확인(숫자가 아님)",IF(AND(D172&lt;0,B172&lt;&gt;"조정"),"음수 수량(구분으로 방향 표시)",IF(NOT(ISNUMBER(K172)),"단위 확인",IF(AND(OR(B172="입고",B172="기초"),G172=""),"단가 미입력",IF(OR(A172&lt;상품·기준!$C$14,A172&gt;상품·기준!$C$15),"기간 밖",IF(AND(H172&lt;&gt;"아니오",C172&lt;&gt;"",COUNTIFS($C$7:$C$306,C172,$B$7:$B$306,B172,$F$7:$F$306,F172,$H$7:$H$306,"&lt;&gt;아니오")&gt;1),"중복 의심(같은 문서번호·구분·상태)","정상")))))))))))</f>
        <v/>
      </c>
      <c r="N172" s="15" t="str">
        <f t="shared" si="5"/>
        <v/>
      </c>
    </row>
    <row r="173" spans="1:14">
      <c r="A173" s="7"/>
      <c r="B173" s="3"/>
      <c r="C173" s="3"/>
      <c r="D173" s="3"/>
      <c r="E173" s="3"/>
      <c r="F173" s="3"/>
      <c r="G173" s="6"/>
      <c r="H173" s="3"/>
      <c r="I173" s="3"/>
      <c r="J173" s="3"/>
      <c r="K173" s="4" t="str">
        <f>IF(AND(D173="",E173=""),"",IF(E173="",1,IFERROR(INDEX(상품·기준!$C$35:$C$38,MATCH(E173,상품·기준!$A$35:$A$38,0)),"단위 확인")))</f>
        <v/>
      </c>
      <c r="L173" s="4" t="str">
        <f t="shared" si="4"/>
        <v/>
      </c>
      <c r="M173" s="4" t="str">
        <f>IF(COUNTA(A173:J173)=0,"",IF(A173="","날짜 미입력",IF(NOT(ISNUMBER(A173)),"날짜 확인(날짜 형식이 아님)",IF(B173="","구분 미입력",IF(D173="","수량 미입력",IF(NOT(ISNUMBER(D173)),"수량 확인(숫자가 아님)",IF(AND(D173&lt;0,B173&lt;&gt;"조정"),"음수 수량(구분으로 방향 표시)",IF(NOT(ISNUMBER(K173)),"단위 확인",IF(AND(OR(B173="입고",B173="기초"),G173=""),"단가 미입력",IF(OR(A173&lt;상품·기준!$C$14,A173&gt;상품·기준!$C$15),"기간 밖",IF(AND(H173&lt;&gt;"아니오",C173&lt;&gt;"",COUNTIFS($C$7:$C$306,C173,$B$7:$B$306,B173,$F$7:$F$306,F173,$H$7:$H$306,"&lt;&gt;아니오")&gt;1),"중복 의심(같은 문서번호·구분·상태)","정상")))))))))))</f>
        <v/>
      </c>
      <c r="N173" s="15" t="str">
        <f t="shared" si="5"/>
        <v/>
      </c>
    </row>
    <row r="174" spans="1:14">
      <c r="A174" s="7"/>
      <c r="B174" s="3"/>
      <c r="C174" s="3"/>
      <c r="D174" s="3"/>
      <c r="E174" s="3"/>
      <c r="F174" s="3"/>
      <c r="G174" s="6"/>
      <c r="H174" s="3"/>
      <c r="I174" s="3"/>
      <c r="J174" s="3"/>
      <c r="K174" s="4" t="str">
        <f>IF(AND(D174="",E174=""),"",IF(E174="",1,IFERROR(INDEX(상품·기준!$C$35:$C$38,MATCH(E174,상품·기준!$A$35:$A$38,0)),"단위 확인")))</f>
        <v/>
      </c>
      <c r="L174" s="4" t="str">
        <f t="shared" si="4"/>
        <v/>
      </c>
      <c r="M174" s="4" t="str">
        <f>IF(COUNTA(A174:J174)=0,"",IF(A174="","날짜 미입력",IF(NOT(ISNUMBER(A174)),"날짜 확인(날짜 형식이 아님)",IF(B174="","구분 미입력",IF(D174="","수량 미입력",IF(NOT(ISNUMBER(D174)),"수량 확인(숫자가 아님)",IF(AND(D174&lt;0,B174&lt;&gt;"조정"),"음수 수량(구분으로 방향 표시)",IF(NOT(ISNUMBER(K174)),"단위 확인",IF(AND(OR(B174="입고",B174="기초"),G174=""),"단가 미입력",IF(OR(A174&lt;상품·기준!$C$14,A174&gt;상품·기준!$C$15),"기간 밖",IF(AND(H174&lt;&gt;"아니오",C174&lt;&gt;"",COUNTIFS($C$7:$C$306,C174,$B$7:$B$306,B174,$F$7:$F$306,F174,$H$7:$H$306,"&lt;&gt;아니오")&gt;1),"중복 의심(같은 문서번호·구분·상태)","정상")))))))))))</f>
        <v/>
      </c>
      <c r="N174" s="15" t="str">
        <f t="shared" si="5"/>
        <v/>
      </c>
    </row>
    <row r="175" spans="1:14">
      <c r="A175" s="7"/>
      <c r="B175" s="3"/>
      <c r="C175" s="3"/>
      <c r="D175" s="3"/>
      <c r="E175" s="3"/>
      <c r="F175" s="3"/>
      <c r="G175" s="6"/>
      <c r="H175" s="3"/>
      <c r="I175" s="3"/>
      <c r="J175" s="3"/>
      <c r="K175" s="4" t="str">
        <f>IF(AND(D175="",E175=""),"",IF(E175="",1,IFERROR(INDEX(상품·기준!$C$35:$C$38,MATCH(E175,상품·기준!$A$35:$A$38,0)),"단위 확인")))</f>
        <v/>
      </c>
      <c r="L175" s="4" t="str">
        <f t="shared" si="4"/>
        <v/>
      </c>
      <c r="M175" s="4" t="str">
        <f>IF(COUNTA(A175:J175)=0,"",IF(A175="","날짜 미입력",IF(NOT(ISNUMBER(A175)),"날짜 확인(날짜 형식이 아님)",IF(B175="","구분 미입력",IF(D175="","수량 미입력",IF(NOT(ISNUMBER(D175)),"수량 확인(숫자가 아님)",IF(AND(D175&lt;0,B175&lt;&gt;"조정"),"음수 수량(구분으로 방향 표시)",IF(NOT(ISNUMBER(K175)),"단위 확인",IF(AND(OR(B175="입고",B175="기초"),G175=""),"단가 미입력",IF(OR(A175&lt;상품·기준!$C$14,A175&gt;상품·기준!$C$15),"기간 밖",IF(AND(H175&lt;&gt;"아니오",C175&lt;&gt;"",COUNTIFS($C$7:$C$306,C175,$B$7:$B$306,B175,$F$7:$F$306,F175,$H$7:$H$306,"&lt;&gt;아니오")&gt;1),"중복 의심(같은 문서번호·구분·상태)","정상")))))))))))</f>
        <v/>
      </c>
      <c r="N175" s="15" t="str">
        <f t="shared" si="5"/>
        <v/>
      </c>
    </row>
    <row r="176" spans="1:14">
      <c r="A176" s="7"/>
      <c r="B176" s="3"/>
      <c r="C176" s="3"/>
      <c r="D176" s="3"/>
      <c r="E176" s="3"/>
      <c r="F176" s="3"/>
      <c r="G176" s="6"/>
      <c r="H176" s="3"/>
      <c r="I176" s="3"/>
      <c r="J176" s="3"/>
      <c r="K176" s="4" t="str">
        <f>IF(AND(D176="",E176=""),"",IF(E176="",1,IFERROR(INDEX(상품·기준!$C$35:$C$38,MATCH(E176,상품·기준!$A$35:$A$38,0)),"단위 확인")))</f>
        <v/>
      </c>
      <c r="L176" s="4" t="str">
        <f t="shared" si="4"/>
        <v/>
      </c>
      <c r="M176" s="4" t="str">
        <f>IF(COUNTA(A176:J176)=0,"",IF(A176="","날짜 미입력",IF(NOT(ISNUMBER(A176)),"날짜 확인(날짜 형식이 아님)",IF(B176="","구분 미입력",IF(D176="","수량 미입력",IF(NOT(ISNUMBER(D176)),"수량 확인(숫자가 아님)",IF(AND(D176&lt;0,B176&lt;&gt;"조정"),"음수 수량(구분으로 방향 표시)",IF(NOT(ISNUMBER(K176)),"단위 확인",IF(AND(OR(B176="입고",B176="기초"),G176=""),"단가 미입력",IF(OR(A176&lt;상품·기준!$C$14,A176&gt;상품·기준!$C$15),"기간 밖",IF(AND(H176&lt;&gt;"아니오",C176&lt;&gt;"",COUNTIFS($C$7:$C$306,C176,$B$7:$B$306,B176,$F$7:$F$306,F176,$H$7:$H$306,"&lt;&gt;아니오")&gt;1),"중복 의심(같은 문서번호·구분·상태)","정상")))))))))))</f>
        <v/>
      </c>
      <c r="N176" s="15" t="str">
        <f t="shared" si="5"/>
        <v/>
      </c>
    </row>
    <row r="177" spans="1:14">
      <c r="A177" s="7"/>
      <c r="B177" s="3"/>
      <c r="C177" s="3"/>
      <c r="D177" s="3"/>
      <c r="E177" s="3"/>
      <c r="F177" s="3"/>
      <c r="G177" s="6"/>
      <c r="H177" s="3"/>
      <c r="I177" s="3"/>
      <c r="J177" s="3"/>
      <c r="K177" s="4" t="str">
        <f>IF(AND(D177="",E177=""),"",IF(E177="",1,IFERROR(INDEX(상품·기준!$C$35:$C$38,MATCH(E177,상품·기준!$A$35:$A$38,0)),"단위 확인")))</f>
        <v/>
      </c>
      <c r="L177" s="4" t="str">
        <f t="shared" si="4"/>
        <v/>
      </c>
      <c r="M177" s="4" t="str">
        <f>IF(COUNTA(A177:J177)=0,"",IF(A177="","날짜 미입력",IF(NOT(ISNUMBER(A177)),"날짜 확인(날짜 형식이 아님)",IF(B177="","구분 미입력",IF(D177="","수량 미입력",IF(NOT(ISNUMBER(D177)),"수량 확인(숫자가 아님)",IF(AND(D177&lt;0,B177&lt;&gt;"조정"),"음수 수량(구분으로 방향 표시)",IF(NOT(ISNUMBER(K177)),"단위 확인",IF(AND(OR(B177="입고",B177="기초"),G177=""),"단가 미입력",IF(OR(A177&lt;상품·기준!$C$14,A177&gt;상품·기준!$C$15),"기간 밖",IF(AND(H177&lt;&gt;"아니오",C177&lt;&gt;"",COUNTIFS($C$7:$C$306,C177,$B$7:$B$306,B177,$F$7:$F$306,F177,$H$7:$H$306,"&lt;&gt;아니오")&gt;1),"중복 의심(같은 문서번호·구분·상태)","정상")))))))))))</f>
        <v/>
      </c>
      <c r="N177" s="15" t="str">
        <f t="shared" si="5"/>
        <v/>
      </c>
    </row>
    <row r="178" spans="1:14">
      <c r="A178" s="7"/>
      <c r="B178" s="3"/>
      <c r="C178" s="3"/>
      <c r="D178" s="3"/>
      <c r="E178" s="3"/>
      <c r="F178" s="3"/>
      <c r="G178" s="6"/>
      <c r="H178" s="3"/>
      <c r="I178" s="3"/>
      <c r="J178" s="3"/>
      <c r="K178" s="4" t="str">
        <f>IF(AND(D178="",E178=""),"",IF(E178="",1,IFERROR(INDEX(상품·기준!$C$35:$C$38,MATCH(E178,상품·기준!$A$35:$A$38,0)),"단위 확인")))</f>
        <v/>
      </c>
      <c r="L178" s="4" t="str">
        <f t="shared" si="4"/>
        <v/>
      </c>
      <c r="M178" s="4" t="str">
        <f>IF(COUNTA(A178:J178)=0,"",IF(A178="","날짜 미입력",IF(NOT(ISNUMBER(A178)),"날짜 확인(날짜 형식이 아님)",IF(B178="","구분 미입력",IF(D178="","수량 미입력",IF(NOT(ISNUMBER(D178)),"수량 확인(숫자가 아님)",IF(AND(D178&lt;0,B178&lt;&gt;"조정"),"음수 수량(구분으로 방향 표시)",IF(NOT(ISNUMBER(K178)),"단위 확인",IF(AND(OR(B178="입고",B178="기초"),G178=""),"단가 미입력",IF(OR(A178&lt;상품·기준!$C$14,A178&gt;상품·기준!$C$15),"기간 밖",IF(AND(H178&lt;&gt;"아니오",C178&lt;&gt;"",COUNTIFS($C$7:$C$306,C178,$B$7:$B$306,B178,$F$7:$F$306,F178,$H$7:$H$306,"&lt;&gt;아니오")&gt;1),"중복 의심(같은 문서번호·구분·상태)","정상")))))))))))</f>
        <v/>
      </c>
      <c r="N178" s="15" t="str">
        <f t="shared" si="5"/>
        <v/>
      </c>
    </row>
    <row r="179" spans="1:14">
      <c r="A179" s="7"/>
      <c r="B179" s="3"/>
      <c r="C179" s="3"/>
      <c r="D179" s="3"/>
      <c r="E179" s="3"/>
      <c r="F179" s="3"/>
      <c r="G179" s="6"/>
      <c r="H179" s="3"/>
      <c r="I179" s="3"/>
      <c r="J179" s="3"/>
      <c r="K179" s="4" t="str">
        <f>IF(AND(D179="",E179=""),"",IF(E179="",1,IFERROR(INDEX(상품·기준!$C$35:$C$38,MATCH(E179,상품·기준!$A$35:$A$38,0)),"단위 확인")))</f>
        <v/>
      </c>
      <c r="L179" s="4" t="str">
        <f t="shared" si="4"/>
        <v/>
      </c>
      <c r="M179" s="4" t="str">
        <f>IF(COUNTA(A179:J179)=0,"",IF(A179="","날짜 미입력",IF(NOT(ISNUMBER(A179)),"날짜 확인(날짜 형식이 아님)",IF(B179="","구분 미입력",IF(D179="","수량 미입력",IF(NOT(ISNUMBER(D179)),"수량 확인(숫자가 아님)",IF(AND(D179&lt;0,B179&lt;&gt;"조정"),"음수 수량(구분으로 방향 표시)",IF(NOT(ISNUMBER(K179)),"단위 확인",IF(AND(OR(B179="입고",B179="기초"),G179=""),"단가 미입력",IF(OR(A179&lt;상품·기준!$C$14,A179&gt;상품·기준!$C$15),"기간 밖",IF(AND(H179&lt;&gt;"아니오",C179&lt;&gt;"",COUNTIFS($C$7:$C$306,C179,$B$7:$B$306,B179,$F$7:$F$306,F179,$H$7:$H$306,"&lt;&gt;아니오")&gt;1),"중복 의심(같은 문서번호·구분·상태)","정상")))))))))))</f>
        <v/>
      </c>
      <c r="N179" s="15" t="str">
        <f t="shared" si="5"/>
        <v/>
      </c>
    </row>
    <row r="180" spans="1:14">
      <c r="A180" s="7"/>
      <c r="B180" s="3"/>
      <c r="C180" s="3"/>
      <c r="D180" s="3"/>
      <c r="E180" s="3"/>
      <c r="F180" s="3"/>
      <c r="G180" s="6"/>
      <c r="H180" s="3"/>
      <c r="I180" s="3"/>
      <c r="J180" s="3"/>
      <c r="K180" s="4" t="str">
        <f>IF(AND(D180="",E180=""),"",IF(E180="",1,IFERROR(INDEX(상품·기준!$C$35:$C$38,MATCH(E180,상품·기준!$A$35:$A$38,0)),"단위 확인")))</f>
        <v/>
      </c>
      <c r="L180" s="4" t="str">
        <f t="shared" si="4"/>
        <v/>
      </c>
      <c r="M180" s="4" t="str">
        <f>IF(COUNTA(A180:J180)=0,"",IF(A180="","날짜 미입력",IF(NOT(ISNUMBER(A180)),"날짜 확인(날짜 형식이 아님)",IF(B180="","구분 미입력",IF(D180="","수량 미입력",IF(NOT(ISNUMBER(D180)),"수량 확인(숫자가 아님)",IF(AND(D180&lt;0,B180&lt;&gt;"조정"),"음수 수량(구분으로 방향 표시)",IF(NOT(ISNUMBER(K180)),"단위 확인",IF(AND(OR(B180="입고",B180="기초"),G180=""),"단가 미입력",IF(OR(A180&lt;상품·기준!$C$14,A180&gt;상품·기준!$C$15),"기간 밖",IF(AND(H180&lt;&gt;"아니오",C180&lt;&gt;"",COUNTIFS($C$7:$C$306,C180,$B$7:$B$306,B180,$F$7:$F$306,F180,$H$7:$H$306,"&lt;&gt;아니오")&gt;1),"중복 의심(같은 문서번호·구분·상태)","정상")))))))))))</f>
        <v/>
      </c>
      <c r="N180" s="15" t="str">
        <f t="shared" si="5"/>
        <v/>
      </c>
    </row>
    <row r="181" spans="1:14">
      <c r="A181" s="7"/>
      <c r="B181" s="3"/>
      <c r="C181" s="3"/>
      <c r="D181" s="3"/>
      <c r="E181" s="3"/>
      <c r="F181" s="3"/>
      <c r="G181" s="6"/>
      <c r="H181" s="3"/>
      <c r="I181" s="3"/>
      <c r="J181" s="3"/>
      <c r="K181" s="4" t="str">
        <f>IF(AND(D181="",E181=""),"",IF(E181="",1,IFERROR(INDEX(상품·기준!$C$35:$C$38,MATCH(E181,상품·기준!$A$35:$A$38,0)),"단위 확인")))</f>
        <v/>
      </c>
      <c r="L181" s="4" t="str">
        <f t="shared" si="4"/>
        <v/>
      </c>
      <c r="M181" s="4" t="str">
        <f>IF(COUNTA(A181:J181)=0,"",IF(A181="","날짜 미입력",IF(NOT(ISNUMBER(A181)),"날짜 확인(날짜 형식이 아님)",IF(B181="","구분 미입력",IF(D181="","수량 미입력",IF(NOT(ISNUMBER(D181)),"수량 확인(숫자가 아님)",IF(AND(D181&lt;0,B181&lt;&gt;"조정"),"음수 수량(구분으로 방향 표시)",IF(NOT(ISNUMBER(K181)),"단위 확인",IF(AND(OR(B181="입고",B181="기초"),G181=""),"단가 미입력",IF(OR(A181&lt;상품·기준!$C$14,A181&gt;상품·기준!$C$15),"기간 밖",IF(AND(H181&lt;&gt;"아니오",C181&lt;&gt;"",COUNTIFS($C$7:$C$306,C181,$B$7:$B$306,B181,$F$7:$F$306,F181,$H$7:$H$306,"&lt;&gt;아니오")&gt;1),"중복 의심(같은 문서번호·구분·상태)","정상")))))))))))</f>
        <v/>
      </c>
      <c r="N181" s="15" t="str">
        <f t="shared" si="5"/>
        <v/>
      </c>
    </row>
    <row r="182" spans="1:14">
      <c r="A182" s="7"/>
      <c r="B182" s="3"/>
      <c r="C182" s="3"/>
      <c r="D182" s="3"/>
      <c r="E182" s="3"/>
      <c r="F182" s="3"/>
      <c r="G182" s="6"/>
      <c r="H182" s="3"/>
      <c r="I182" s="3"/>
      <c r="J182" s="3"/>
      <c r="K182" s="4" t="str">
        <f>IF(AND(D182="",E182=""),"",IF(E182="",1,IFERROR(INDEX(상품·기준!$C$35:$C$38,MATCH(E182,상품·기준!$A$35:$A$38,0)),"단위 확인")))</f>
        <v/>
      </c>
      <c r="L182" s="4" t="str">
        <f t="shared" si="4"/>
        <v/>
      </c>
      <c r="M182" s="4" t="str">
        <f>IF(COUNTA(A182:J182)=0,"",IF(A182="","날짜 미입력",IF(NOT(ISNUMBER(A182)),"날짜 확인(날짜 형식이 아님)",IF(B182="","구분 미입력",IF(D182="","수량 미입력",IF(NOT(ISNUMBER(D182)),"수량 확인(숫자가 아님)",IF(AND(D182&lt;0,B182&lt;&gt;"조정"),"음수 수량(구분으로 방향 표시)",IF(NOT(ISNUMBER(K182)),"단위 확인",IF(AND(OR(B182="입고",B182="기초"),G182=""),"단가 미입력",IF(OR(A182&lt;상품·기준!$C$14,A182&gt;상품·기준!$C$15),"기간 밖",IF(AND(H182&lt;&gt;"아니오",C182&lt;&gt;"",COUNTIFS($C$7:$C$306,C182,$B$7:$B$306,B182,$F$7:$F$306,F182,$H$7:$H$306,"&lt;&gt;아니오")&gt;1),"중복 의심(같은 문서번호·구분·상태)","정상")))))))))))</f>
        <v/>
      </c>
      <c r="N182" s="15" t="str">
        <f t="shared" si="5"/>
        <v/>
      </c>
    </row>
    <row r="183" spans="1:14">
      <c r="A183" s="7"/>
      <c r="B183" s="3"/>
      <c r="C183" s="3"/>
      <c r="D183" s="3"/>
      <c r="E183" s="3"/>
      <c r="F183" s="3"/>
      <c r="G183" s="6"/>
      <c r="H183" s="3"/>
      <c r="I183" s="3"/>
      <c r="J183" s="3"/>
      <c r="K183" s="4" t="str">
        <f>IF(AND(D183="",E183=""),"",IF(E183="",1,IFERROR(INDEX(상품·기준!$C$35:$C$38,MATCH(E183,상품·기준!$A$35:$A$38,0)),"단위 확인")))</f>
        <v/>
      </c>
      <c r="L183" s="4" t="str">
        <f t="shared" si="4"/>
        <v/>
      </c>
      <c r="M183" s="4" t="str">
        <f>IF(COUNTA(A183:J183)=0,"",IF(A183="","날짜 미입력",IF(NOT(ISNUMBER(A183)),"날짜 확인(날짜 형식이 아님)",IF(B183="","구분 미입력",IF(D183="","수량 미입력",IF(NOT(ISNUMBER(D183)),"수량 확인(숫자가 아님)",IF(AND(D183&lt;0,B183&lt;&gt;"조정"),"음수 수량(구분으로 방향 표시)",IF(NOT(ISNUMBER(K183)),"단위 확인",IF(AND(OR(B183="입고",B183="기초"),G183=""),"단가 미입력",IF(OR(A183&lt;상품·기준!$C$14,A183&gt;상품·기준!$C$15),"기간 밖",IF(AND(H183&lt;&gt;"아니오",C183&lt;&gt;"",COUNTIFS($C$7:$C$306,C183,$B$7:$B$306,B183,$F$7:$F$306,F183,$H$7:$H$306,"&lt;&gt;아니오")&gt;1),"중복 의심(같은 문서번호·구분·상태)","정상")))))))))))</f>
        <v/>
      </c>
      <c r="N183" s="15" t="str">
        <f t="shared" si="5"/>
        <v/>
      </c>
    </row>
    <row r="184" spans="1:14">
      <c r="A184" s="7"/>
      <c r="B184" s="3"/>
      <c r="C184" s="3"/>
      <c r="D184" s="3"/>
      <c r="E184" s="3"/>
      <c r="F184" s="3"/>
      <c r="G184" s="6"/>
      <c r="H184" s="3"/>
      <c r="I184" s="3"/>
      <c r="J184" s="3"/>
      <c r="K184" s="4" t="str">
        <f>IF(AND(D184="",E184=""),"",IF(E184="",1,IFERROR(INDEX(상품·기준!$C$35:$C$38,MATCH(E184,상품·기준!$A$35:$A$38,0)),"단위 확인")))</f>
        <v/>
      </c>
      <c r="L184" s="4" t="str">
        <f t="shared" si="4"/>
        <v/>
      </c>
      <c r="M184" s="4" t="str">
        <f>IF(COUNTA(A184:J184)=0,"",IF(A184="","날짜 미입력",IF(NOT(ISNUMBER(A184)),"날짜 확인(날짜 형식이 아님)",IF(B184="","구분 미입력",IF(D184="","수량 미입력",IF(NOT(ISNUMBER(D184)),"수량 확인(숫자가 아님)",IF(AND(D184&lt;0,B184&lt;&gt;"조정"),"음수 수량(구분으로 방향 표시)",IF(NOT(ISNUMBER(K184)),"단위 확인",IF(AND(OR(B184="입고",B184="기초"),G184=""),"단가 미입력",IF(OR(A184&lt;상품·기준!$C$14,A184&gt;상품·기준!$C$15),"기간 밖",IF(AND(H184&lt;&gt;"아니오",C184&lt;&gt;"",COUNTIFS($C$7:$C$306,C184,$B$7:$B$306,B184,$F$7:$F$306,F184,$H$7:$H$306,"&lt;&gt;아니오")&gt;1),"중복 의심(같은 문서번호·구분·상태)","정상")))))))))))</f>
        <v/>
      </c>
      <c r="N184" s="15" t="str">
        <f t="shared" si="5"/>
        <v/>
      </c>
    </row>
    <row r="185" spans="1:14">
      <c r="A185" s="7"/>
      <c r="B185" s="3"/>
      <c r="C185" s="3"/>
      <c r="D185" s="3"/>
      <c r="E185" s="3"/>
      <c r="F185" s="3"/>
      <c r="G185" s="6"/>
      <c r="H185" s="3"/>
      <c r="I185" s="3"/>
      <c r="J185" s="3"/>
      <c r="K185" s="4" t="str">
        <f>IF(AND(D185="",E185=""),"",IF(E185="",1,IFERROR(INDEX(상품·기준!$C$35:$C$38,MATCH(E185,상품·기준!$A$35:$A$38,0)),"단위 확인")))</f>
        <v/>
      </c>
      <c r="L185" s="4" t="str">
        <f t="shared" si="4"/>
        <v/>
      </c>
      <c r="M185" s="4" t="str">
        <f>IF(COUNTA(A185:J185)=0,"",IF(A185="","날짜 미입력",IF(NOT(ISNUMBER(A185)),"날짜 확인(날짜 형식이 아님)",IF(B185="","구분 미입력",IF(D185="","수량 미입력",IF(NOT(ISNUMBER(D185)),"수량 확인(숫자가 아님)",IF(AND(D185&lt;0,B185&lt;&gt;"조정"),"음수 수량(구분으로 방향 표시)",IF(NOT(ISNUMBER(K185)),"단위 확인",IF(AND(OR(B185="입고",B185="기초"),G185=""),"단가 미입력",IF(OR(A185&lt;상품·기준!$C$14,A185&gt;상품·기준!$C$15),"기간 밖",IF(AND(H185&lt;&gt;"아니오",C185&lt;&gt;"",COUNTIFS($C$7:$C$306,C185,$B$7:$B$306,B185,$F$7:$F$306,F185,$H$7:$H$306,"&lt;&gt;아니오")&gt;1),"중복 의심(같은 문서번호·구분·상태)","정상")))))))))))</f>
        <v/>
      </c>
      <c r="N185" s="15" t="str">
        <f t="shared" si="5"/>
        <v/>
      </c>
    </row>
    <row r="186" spans="1:14">
      <c r="A186" s="7"/>
      <c r="B186" s="3"/>
      <c r="C186" s="3"/>
      <c r="D186" s="3"/>
      <c r="E186" s="3"/>
      <c r="F186" s="3"/>
      <c r="G186" s="6"/>
      <c r="H186" s="3"/>
      <c r="I186" s="3"/>
      <c r="J186" s="3"/>
      <c r="K186" s="4" t="str">
        <f>IF(AND(D186="",E186=""),"",IF(E186="",1,IFERROR(INDEX(상품·기준!$C$35:$C$38,MATCH(E186,상품·기준!$A$35:$A$38,0)),"단위 확인")))</f>
        <v/>
      </c>
      <c r="L186" s="4" t="str">
        <f t="shared" si="4"/>
        <v/>
      </c>
      <c r="M186" s="4" t="str">
        <f>IF(COUNTA(A186:J186)=0,"",IF(A186="","날짜 미입력",IF(NOT(ISNUMBER(A186)),"날짜 확인(날짜 형식이 아님)",IF(B186="","구분 미입력",IF(D186="","수량 미입력",IF(NOT(ISNUMBER(D186)),"수량 확인(숫자가 아님)",IF(AND(D186&lt;0,B186&lt;&gt;"조정"),"음수 수량(구분으로 방향 표시)",IF(NOT(ISNUMBER(K186)),"단위 확인",IF(AND(OR(B186="입고",B186="기초"),G186=""),"단가 미입력",IF(OR(A186&lt;상품·기준!$C$14,A186&gt;상품·기준!$C$15),"기간 밖",IF(AND(H186&lt;&gt;"아니오",C186&lt;&gt;"",COUNTIFS($C$7:$C$306,C186,$B$7:$B$306,B186,$F$7:$F$306,F186,$H$7:$H$306,"&lt;&gt;아니오")&gt;1),"중복 의심(같은 문서번호·구분·상태)","정상")))))))))))</f>
        <v/>
      </c>
      <c r="N186" s="15" t="str">
        <f t="shared" si="5"/>
        <v/>
      </c>
    </row>
    <row r="187" spans="1:14">
      <c r="A187" s="7"/>
      <c r="B187" s="3"/>
      <c r="C187" s="3"/>
      <c r="D187" s="3"/>
      <c r="E187" s="3"/>
      <c r="F187" s="3"/>
      <c r="G187" s="6"/>
      <c r="H187" s="3"/>
      <c r="I187" s="3"/>
      <c r="J187" s="3"/>
      <c r="K187" s="4" t="str">
        <f>IF(AND(D187="",E187=""),"",IF(E187="",1,IFERROR(INDEX(상품·기준!$C$35:$C$38,MATCH(E187,상품·기준!$A$35:$A$38,0)),"단위 확인")))</f>
        <v/>
      </c>
      <c r="L187" s="4" t="str">
        <f t="shared" si="4"/>
        <v/>
      </c>
      <c r="M187" s="4" t="str">
        <f>IF(COUNTA(A187:J187)=0,"",IF(A187="","날짜 미입력",IF(NOT(ISNUMBER(A187)),"날짜 확인(날짜 형식이 아님)",IF(B187="","구분 미입력",IF(D187="","수량 미입력",IF(NOT(ISNUMBER(D187)),"수량 확인(숫자가 아님)",IF(AND(D187&lt;0,B187&lt;&gt;"조정"),"음수 수량(구분으로 방향 표시)",IF(NOT(ISNUMBER(K187)),"단위 확인",IF(AND(OR(B187="입고",B187="기초"),G187=""),"단가 미입력",IF(OR(A187&lt;상품·기준!$C$14,A187&gt;상품·기준!$C$15),"기간 밖",IF(AND(H187&lt;&gt;"아니오",C187&lt;&gt;"",COUNTIFS($C$7:$C$306,C187,$B$7:$B$306,B187,$F$7:$F$306,F187,$H$7:$H$306,"&lt;&gt;아니오")&gt;1),"중복 의심(같은 문서번호·구분·상태)","정상")))))))))))</f>
        <v/>
      </c>
      <c r="N187" s="15" t="str">
        <f t="shared" si="5"/>
        <v/>
      </c>
    </row>
    <row r="188" spans="1:14">
      <c r="A188" s="7"/>
      <c r="B188" s="3"/>
      <c r="C188" s="3"/>
      <c r="D188" s="3"/>
      <c r="E188" s="3"/>
      <c r="F188" s="3"/>
      <c r="G188" s="6"/>
      <c r="H188" s="3"/>
      <c r="I188" s="3"/>
      <c r="J188" s="3"/>
      <c r="K188" s="4" t="str">
        <f>IF(AND(D188="",E188=""),"",IF(E188="",1,IFERROR(INDEX(상품·기준!$C$35:$C$38,MATCH(E188,상품·기준!$A$35:$A$38,0)),"단위 확인")))</f>
        <v/>
      </c>
      <c r="L188" s="4" t="str">
        <f t="shared" si="4"/>
        <v/>
      </c>
      <c r="M188" s="4" t="str">
        <f>IF(COUNTA(A188:J188)=0,"",IF(A188="","날짜 미입력",IF(NOT(ISNUMBER(A188)),"날짜 확인(날짜 형식이 아님)",IF(B188="","구분 미입력",IF(D188="","수량 미입력",IF(NOT(ISNUMBER(D188)),"수량 확인(숫자가 아님)",IF(AND(D188&lt;0,B188&lt;&gt;"조정"),"음수 수량(구분으로 방향 표시)",IF(NOT(ISNUMBER(K188)),"단위 확인",IF(AND(OR(B188="입고",B188="기초"),G188=""),"단가 미입력",IF(OR(A188&lt;상품·기준!$C$14,A188&gt;상품·기준!$C$15),"기간 밖",IF(AND(H188&lt;&gt;"아니오",C188&lt;&gt;"",COUNTIFS($C$7:$C$306,C188,$B$7:$B$306,B188,$F$7:$F$306,F188,$H$7:$H$306,"&lt;&gt;아니오")&gt;1),"중복 의심(같은 문서번호·구분·상태)","정상")))))))))))</f>
        <v/>
      </c>
      <c r="N188" s="15" t="str">
        <f t="shared" si="5"/>
        <v/>
      </c>
    </row>
    <row r="189" spans="1:14">
      <c r="A189" s="7"/>
      <c r="B189" s="3"/>
      <c r="C189" s="3"/>
      <c r="D189" s="3"/>
      <c r="E189" s="3"/>
      <c r="F189" s="3"/>
      <c r="G189" s="6"/>
      <c r="H189" s="3"/>
      <c r="I189" s="3"/>
      <c r="J189" s="3"/>
      <c r="K189" s="4" t="str">
        <f>IF(AND(D189="",E189=""),"",IF(E189="",1,IFERROR(INDEX(상품·기준!$C$35:$C$38,MATCH(E189,상품·기준!$A$35:$A$38,0)),"단위 확인")))</f>
        <v/>
      </c>
      <c r="L189" s="4" t="str">
        <f t="shared" si="4"/>
        <v/>
      </c>
      <c r="M189" s="4" t="str">
        <f>IF(COUNTA(A189:J189)=0,"",IF(A189="","날짜 미입력",IF(NOT(ISNUMBER(A189)),"날짜 확인(날짜 형식이 아님)",IF(B189="","구분 미입력",IF(D189="","수량 미입력",IF(NOT(ISNUMBER(D189)),"수량 확인(숫자가 아님)",IF(AND(D189&lt;0,B189&lt;&gt;"조정"),"음수 수량(구분으로 방향 표시)",IF(NOT(ISNUMBER(K189)),"단위 확인",IF(AND(OR(B189="입고",B189="기초"),G189=""),"단가 미입력",IF(OR(A189&lt;상품·기준!$C$14,A189&gt;상품·기준!$C$15),"기간 밖",IF(AND(H189&lt;&gt;"아니오",C189&lt;&gt;"",COUNTIFS($C$7:$C$306,C189,$B$7:$B$306,B189,$F$7:$F$306,F189,$H$7:$H$306,"&lt;&gt;아니오")&gt;1),"중복 의심(같은 문서번호·구분·상태)","정상")))))))))))</f>
        <v/>
      </c>
      <c r="N189" s="15" t="str">
        <f t="shared" si="5"/>
        <v/>
      </c>
    </row>
    <row r="190" spans="1:14">
      <c r="A190" s="7"/>
      <c r="B190" s="3"/>
      <c r="C190" s="3"/>
      <c r="D190" s="3"/>
      <c r="E190" s="3"/>
      <c r="F190" s="3"/>
      <c r="G190" s="6"/>
      <c r="H190" s="3"/>
      <c r="I190" s="3"/>
      <c r="J190" s="3"/>
      <c r="K190" s="4" t="str">
        <f>IF(AND(D190="",E190=""),"",IF(E190="",1,IFERROR(INDEX(상품·기준!$C$35:$C$38,MATCH(E190,상품·기준!$A$35:$A$38,0)),"단위 확인")))</f>
        <v/>
      </c>
      <c r="L190" s="4" t="str">
        <f t="shared" si="4"/>
        <v/>
      </c>
      <c r="M190" s="4" t="str">
        <f>IF(COUNTA(A190:J190)=0,"",IF(A190="","날짜 미입력",IF(NOT(ISNUMBER(A190)),"날짜 확인(날짜 형식이 아님)",IF(B190="","구분 미입력",IF(D190="","수량 미입력",IF(NOT(ISNUMBER(D190)),"수량 확인(숫자가 아님)",IF(AND(D190&lt;0,B190&lt;&gt;"조정"),"음수 수량(구분으로 방향 표시)",IF(NOT(ISNUMBER(K190)),"단위 확인",IF(AND(OR(B190="입고",B190="기초"),G190=""),"단가 미입력",IF(OR(A190&lt;상품·기준!$C$14,A190&gt;상품·기준!$C$15),"기간 밖",IF(AND(H190&lt;&gt;"아니오",C190&lt;&gt;"",COUNTIFS($C$7:$C$306,C190,$B$7:$B$306,B190,$F$7:$F$306,F190,$H$7:$H$306,"&lt;&gt;아니오")&gt;1),"중복 의심(같은 문서번호·구분·상태)","정상")))))))))))</f>
        <v/>
      </c>
      <c r="N190" s="15" t="str">
        <f t="shared" si="5"/>
        <v/>
      </c>
    </row>
    <row r="191" spans="1:14">
      <c r="A191" s="7"/>
      <c r="B191" s="3"/>
      <c r="C191" s="3"/>
      <c r="D191" s="3"/>
      <c r="E191" s="3"/>
      <c r="F191" s="3"/>
      <c r="G191" s="6"/>
      <c r="H191" s="3"/>
      <c r="I191" s="3"/>
      <c r="J191" s="3"/>
      <c r="K191" s="4" t="str">
        <f>IF(AND(D191="",E191=""),"",IF(E191="",1,IFERROR(INDEX(상품·기준!$C$35:$C$38,MATCH(E191,상품·기준!$A$35:$A$38,0)),"단위 확인")))</f>
        <v/>
      </c>
      <c r="L191" s="4" t="str">
        <f t="shared" si="4"/>
        <v/>
      </c>
      <c r="M191" s="4" t="str">
        <f>IF(COUNTA(A191:J191)=0,"",IF(A191="","날짜 미입력",IF(NOT(ISNUMBER(A191)),"날짜 확인(날짜 형식이 아님)",IF(B191="","구분 미입력",IF(D191="","수량 미입력",IF(NOT(ISNUMBER(D191)),"수량 확인(숫자가 아님)",IF(AND(D191&lt;0,B191&lt;&gt;"조정"),"음수 수량(구분으로 방향 표시)",IF(NOT(ISNUMBER(K191)),"단위 확인",IF(AND(OR(B191="입고",B191="기초"),G191=""),"단가 미입력",IF(OR(A191&lt;상품·기준!$C$14,A191&gt;상품·기준!$C$15),"기간 밖",IF(AND(H191&lt;&gt;"아니오",C191&lt;&gt;"",COUNTIFS($C$7:$C$306,C191,$B$7:$B$306,B191,$F$7:$F$306,F191,$H$7:$H$306,"&lt;&gt;아니오")&gt;1),"중복 의심(같은 문서번호·구분·상태)","정상")))))))))))</f>
        <v/>
      </c>
      <c r="N191" s="15" t="str">
        <f t="shared" si="5"/>
        <v/>
      </c>
    </row>
    <row r="192" spans="1:14">
      <c r="A192" s="7"/>
      <c r="B192" s="3"/>
      <c r="C192" s="3"/>
      <c r="D192" s="3"/>
      <c r="E192" s="3"/>
      <c r="F192" s="3"/>
      <c r="G192" s="6"/>
      <c r="H192" s="3"/>
      <c r="I192" s="3"/>
      <c r="J192" s="3"/>
      <c r="K192" s="4" t="str">
        <f>IF(AND(D192="",E192=""),"",IF(E192="",1,IFERROR(INDEX(상품·기준!$C$35:$C$38,MATCH(E192,상품·기준!$A$35:$A$38,0)),"단위 확인")))</f>
        <v/>
      </c>
      <c r="L192" s="4" t="str">
        <f t="shared" si="4"/>
        <v/>
      </c>
      <c r="M192" s="4" t="str">
        <f>IF(COUNTA(A192:J192)=0,"",IF(A192="","날짜 미입력",IF(NOT(ISNUMBER(A192)),"날짜 확인(날짜 형식이 아님)",IF(B192="","구분 미입력",IF(D192="","수량 미입력",IF(NOT(ISNUMBER(D192)),"수량 확인(숫자가 아님)",IF(AND(D192&lt;0,B192&lt;&gt;"조정"),"음수 수량(구분으로 방향 표시)",IF(NOT(ISNUMBER(K192)),"단위 확인",IF(AND(OR(B192="입고",B192="기초"),G192=""),"단가 미입력",IF(OR(A192&lt;상품·기준!$C$14,A192&gt;상품·기준!$C$15),"기간 밖",IF(AND(H192&lt;&gt;"아니오",C192&lt;&gt;"",COUNTIFS($C$7:$C$306,C192,$B$7:$B$306,B192,$F$7:$F$306,F192,$H$7:$H$306,"&lt;&gt;아니오")&gt;1),"중복 의심(같은 문서번호·구분·상태)","정상")))))))))))</f>
        <v/>
      </c>
      <c r="N192" s="15" t="str">
        <f t="shared" si="5"/>
        <v/>
      </c>
    </row>
    <row r="193" spans="1:14">
      <c r="A193" s="7"/>
      <c r="B193" s="3"/>
      <c r="C193" s="3"/>
      <c r="D193" s="3"/>
      <c r="E193" s="3"/>
      <c r="F193" s="3"/>
      <c r="G193" s="6"/>
      <c r="H193" s="3"/>
      <c r="I193" s="3"/>
      <c r="J193" s="3"/>
      <c r="K193" s="4" t="str">
        <f>IF(AND(D193="",E193=""),"",IF(E193="",1,IFERROR(INDEX(상품·기준!$C$35:$C$38,MATCH(E193,상품·기준!$A$35:$A$38,0)),"단위 확인")))</f>
        <v/>
      </c>
      <c r="L193" s="4" t="str">
        <f t="shared" si="4"/>
        <v/>
      </c>
      <c r="M193" s="4" t="str">
        <f>IF(COUNTA(A193:J193)=0,"",IF(A193="","날짜 미입력",IF(NOT(ISNUMBER(A193)),"날짜 확인(날짜 형식이 아님)",IF(B193="","구분 미입력",IF(D193="","수량 미입력",IF(NOT(ISNUMBER(D193)),"수량 확인(숫자가 아님)",IF(AND(D193&lt;0,B193&lt;&gt;"조정"),"음수 수량(구분으로 방향 표시)",IF(NOT(ISNUMBER(K193)),"단위 확인",IF(AND(OR(B193="입고",B193="기초"),G193=""),"단가 미입력",IF(OR(A193&lt;상품·기준!$C$14,A193&gt;상품·기준!$C$15),"기간 밖",IF(AND(H193&lt;&gt;"아니오",C193&lt;&gt;"",COUNTIFS($C$7:$C$306,C193,$B$7:$B$306,B193,$F$7:$F$306,F193,$H$7:$H$306,"&lt;&gt;아니오")&gt;1),"중복 의심(같은 문서번호·구분·상태)","정상")))))))))))</f>
        <v/>
      </c>
      <c r="N193" s="15" t="str">
        <f t="shared" si="5"/>
        <v/>
      </c>
    </row>
    <row r="194" spans="1:14">
      <c r="A194" s="7"/>
      <c r="B194" s="3"/>
      <c r="C194" s="3"/>
      <c r="D194" s="3"/>
      <c r="E194" s="3"/>
      <c r="F194" s="3"/>
      <c r="G194" s="6"/>
      <c r="H194" s="3"/>
      <c r="I194" s="3"/>
      <c r="J194" s="3"/>
      <c r="K194" s="4" t="str">
        <f>IF(AND(D194="",E194=""),"",IF(E194="",1,IFERROR(INDEX(상품·기준!$C$35:$C$38,MATCH(E194,상품·기준!$A$35:$A$38,0)),"단위 확인")))</f>
        <v/>
      </c>
      <c r="L194" s="4" t="str">
        <f t="shared" si="4"/>
        <v/>
      </c>
      <c r="M194" s="4" t="str">
        <f>IF(COUNTA(A194:J194)=0,"",IF(A194="","날짜 미입력",IF(NOT(ISNUMBER(A194)),"날짜 확인(날짜 형식이 아님)",IF(B194="","구분 미입력",IF(D194="","수량 미입력",IF(NOT(ISNUMBER(D194)),"수량 확인(숫자가 아님)",IF(AND(D194&lt;0,B194&lt;&gt;"조정"),"음수 수량(구분으로 방향 표시)",IF(NOT(ISNUMBER(K194)),"단위 확인",IF(AND(OR(B194="입고",B194="기초"),G194=""),"단가 미입력",IF(OR(A194&lt;상품·기준!$C$14,A194&gt;상품·기준!$C$15),"기간 밖",IF(AND(H194&lt;&gt;"아니오",C194&lt;&gt;"",COUNTIFS($C$7:$C$306,C194,$B$7:$B$306,B194,$F$7:$F$306,F194,$H$7:$H$306,"&lt;&gt;아니오")&gt;1),"중복 의심(같은 문서번호·구분·상태)","정상")))))))))))</f>
        <v/>
      </c>
      <c r="N194" s="15" t="str">
        <f t="shared" si="5"/>
        <v/>
      </c>
    </row>
    <row r="195" spans="1:14">
      <c r="A195" s="7"/>
      <c r="B195" s="3"/>
      <c r="C195" s="3"/>
      <c r="D195" s="3"/>
      <c r="E195" s="3"/>
      <c r="F195" s="3"/>
      <c r="G195" s="6"/>
      <c r="H195" s="3"/>
      <c r="I195" s="3"/>
      <c r="J195" s="3"/>
      <c r="K195" s="4" t="str">
        <f>IF(AND(D195="",E195=""),"",IF(E195="",1,IFERROR(INDEX(상품·기준!$C$35:$C$38,MATCH(E195,상품·기준!$A$35:$A$38,0)),"단위 확인")))</f>
        <v/>
      </c>
      <c r="L195" s="4" t="str">
        <f t="shared" si="4"/>
        <v/>
      </c>
      <c r="M195" s="4" t="str">
        <f>IF(COUNTA(A195:J195)=0,"",IF(A195="","날짜 미입력",IF(NOT(ISNUMBER(A195)),"날짜 확인(날짜 형식이 아님)",IF(B195="","구분 미입력",IF(D195="","수량 미입력",IF(NOT(ISNUMBER(D195)),"수량 확인(숫자가 아님)",IF(AND(D195&lt;0,B195&lt;&gt;"조정"),"음수 수량(구분으로 방향 표시)",IF(NOT(ISNUMBER(K195)),"단위 확인",IF(AND(OR(B195="입고",B195="기초"),G195=""),"단가 미입력",IF(OR(A195&lt;상품·기준!$C$14,A195&gt;상품·기준!$C$15),"기간 밖",IF(AND(H195&lt;&gt;"아니오",C195&lt;&gt;"",COUNTIFS($C$7:$C$306,C195,$B$7:$B$306,B195,$F$7:$F$306,F195,$H$7:$H$306,"&lt;&gt;아니오")&gt;1),"중복 의심(같은 문서번호·구분·상태)","정상")))))))))))</f>
        <v/>
      </c>
      <c r="N195" s="15" t="str">
        <f t="shared" si="5"/>
        <v/>
      </c>
    </row>
    <row r="196" spans="1:14">
      <c r="A196" s="7"/>
      <c r="B196" s="3"/>
      <c r="C196" s="3"/>
      <c r="D196" s="3"/>
      <c r="E196" s="3"/>
      <c r="F196" s="3"/>
      <c r="G196" s="6"/>
      <c r="H196" s="3"/>
      <c r="I196" s="3"/>
      <c r="J196" s="3"/>
      <c r="K196" s="4" t="str">
        <f>IF(AND(D196="",E196=""),"",IF(E196="",1,IFERROR(INDEX(상품·기준!$C$35:$C$38,MATCH(E196,상품·기준!$A$35:$A$38,0)),"단위 확인")))</f>
        <v/>
      </c>
      <c r="L196" s="4" t="str">
        <f t="shared" si="4"/>
        <v/>
      </c>
      <c r="M196" s="4" t="str">
        <f>IF(COUNTA(A196:J196)=0,"",IF(A196="","날짜 미입력",IF(NOT(ISNUMBER(A196)),"날짜 확인(날짜 형식이 아님)",IF(B196="","구분 미입력",IF(D196="","수량 미입력",IF(NOT(ISNUMBER(D196)),"수량 확인(숫자가 아님)",IF(AND(D196&lt;0,B196&lt;&gt;"조정"),"음수 수량(구분으로 방향 표시)",IF(NOT(ISNUMBER(K196)),"단위 확인",IF(AND(OR(B196="입고",B196="기초"),G196=""),"단가 미입력",IF(OR(A196&lt;상품·기준!$C$14,A196&gt;상품·기준!$C$15),"기간 밖",IF(AND(H196&lt;&gt;"아니오",C196&lt;&gt;"",COUNTIFS($C$7:$C$306,C196,$B$7:$B$306,B196,$F$7:$F$306,F196,$H$7:$H$306,"&lt;&gt;아니오")&gt;1),"중복 의심(같은 문서번호·구분·상태)","정상")))))))))))</f>
        <v/>
      </c>
      <c r="N196" s="15" t="str">
        <f t="shared" si="5"/>
        <v/>
      </c>
    </row>
    <row r="197" spans="1:14">
      <c r="A197" s="7"/>
      <c r="B197" s="3"/>
      <c r="C197" s="3"/>
      <c r="D197" s="3"/>
      <c r="E197" s="3"/>
      <c r="F197" s="3"/>
      <c r="G197" s="6"/>
      <c r="H197" s="3"/>
      <c r="I197" s="3"/>
      <c r="J197" s="3"/>
      <c r="K197" s="4" t="str">
        <f>IF(AND(D197="",E197=""),"",IF(E197="",1,IFERROR(INDEX(상품·기준!$C$35:$C$38,MATCH(E197,상품·기준!$A$35:$A$38,0)),"단위 확인")))</f>
        <v/>
      </c>
      <c r="L197" s="4" t="str">
        <f t="shared" si="4"/>
        <v/>
      </c>
      <c r="M197" s="4" t="str">
        <f>IF(COUNTA(A197:J197)=0,"",IF(A197="","날짜 미입력",IF(NOT(ISNUMBER(A197)),"날짜 확인(날짜 형식이 아님)",IF(B197="","구분 미입력",IF(D197="","수량 미입력",IF(NOT(ISNUMBER(D197)),"수량 확인(숫자가 아님)",IF(AND(D197&lt;0,B197&lt;&gt;"조정"),"음수 수량(구분으로 방향 표시)",IF(NOT(ISNUMBER(K197)),"단위 확인",IF(AND(OR(B197="입고",B197="기초"),G197=""),"단가 미입력",IF(OR(A197&lt;상품·기준!$C$14,A197&gt;상품·기준!$C$15),"기간 밖",IF(AND(H197&lt;&gt;"아니오",C197&lt;&gt;"",COUNTIFS($C$7:$C$306,C197,$B$7:$B$306,B197,$F$7:$F$306,F197,$H$7:$H$306,"&lt;&gt;아니오")&gt;1),"중복 의심(같은 문서번호·구분·상태)","정상")))))))))))</f>
        <v/>
      </c>
      <c r="N197" s="15" t="str">
        <f t="shared" si="5"/>
        <v/>
      </c>
    </row>
    <row r="198" spans="1:14">
      <c r="A198" s="7"/>
      <c r="B198" s="3"/>
      <c r="C198" s="3"/>
      <c r="D198" s="3"/>
      <c r="E198" s="3"/>
      <c r="F198" s="3"/>
      <c r="G198" s="6"/>
      <c r="H198" s="3"/>
      <c r="I198" s="3"/>
      <c r="J198" s="3"/>
      <c r="K198" s="4" t="str">
        <f>IF(AND(D198="",E198=""),"",IF(E198="",1,IFERROR(INDEX(상품·기준!$C$35:$C$38,MATCH(E198,상품·기준!$A$35:$A$38,0)),"단위 확인")))</f>
        <v/>
      </c>
      <c r="L198" s="4" t="str">
        <f t="shared" si="4"/>
        <v/>
      </c>
      <c r="M198" s="4" t="str">
        <f>IF(COUNTA(A198:J198)=0,"",IF(A198="","날짜 미입력",IF(NOT(ISNUMBER(A198)),"날짜 확인(날짜 형식이 아님)",IF(B198="","구분 미입력",IF(D198="","수량 미입력",IF(NOT(ISNUMBER(D198)),"수량 확인(숫자가 아님)",IF(AND(D198&lt;0,B198&lt;&gt;"조정"),"음수 수량(구분으로 방향 표시)",IF(NOT(ISNUMBER(K198)),"단위 확인",IF(AND(OR(B198="입고",B198="기초"),G198=""),"단가 미입력",IF(OR(A198&lt;상품·기준!$C$14,A198&gt;상품·기준!$C$15),"기간 밖",IF(AND(H198&lt;&gt;"아니오",C198&lt;&gt;"",COUNTIFS($C$7:$C$306,C198,$B$7:$B$306,B198,$F$7:$F$306,F198,$H$7:$H$306,"&lt;&gt;아니오")&gt;1),"중복 의심(같은 문서번호·구분·상태)","정상")))))))))))</f>
        <v/>
      </c>
      <c r="N198" s="15" t="str">
        <f t="shared" si="5"/>
        <v/>
      </c>
    </row>
    <row r="199" spans="1:14">
      <c r="A199" s="7"/>
      <c r="B199" s="3"/>
      <c r="C199" s="3"/>
      <c r="D199" s="3"/>
      <c r="E199" s="3"/>
      <c r="F199" s="3"/>
      <c r="G199" s="6"/>
      <c r="H199" s="3"/>
      <c r="I199" s="3"/>
      <c r="J199" s="3"/>
      <c r="K199" s="4" t="str">
        <f>IF(AND(D199="",E199=""),"",IF(E199="",1,IFERROR(INDEX(상품·기준!$C$35:$C$38,MATCH(E199,상품·기준!$A$35:$A$38,0)),"단위 확인")))</f>
        <v/>
      </c>
      <c r="L199" s="4" t="str">
        <f t="shared" ref="L199:L262" si="6">IF(AND(ISNUMBER(D199),ISNUMBER(K199)),D199*K199,"")</f>
        <v/>
      </c>
      <c r="M199" s="4" t="str">
        <f>IF(COUNTA(A199:J199)=0,"",IF(A199="","날짜 미입력",IF(NOT(ISNUMBER(A199)),"날짜 확인(날짜 형식이 아님)",IF(B199="","구분 미입력",IF(D199="","수량 미입력",IF(NOT(ISNUMBER(D199)),"수량 확인(숫자가 아님)",IF(AND(D199&lt;0,B199&lt;&gt;"조정"),"음수 수량(구분으로 방향 표시)",IF(NOT(ISNUMBER(K199)),"단위 확인",IF(AND(OR(B199="입고",B199="기초"),G199=""),"단가 미입력",IF(OR(A199&lt;상품·기준!$C$14,A199&gt;상품·기준!$C$15),"기간 밖",IF(AND(H199&lt;&gt;"아니오",C199&lt;&gt;"",COUNTIFS($C$7:$C$306,C199,$B$7:$B$306,B199,$F$7:$F$306,F199,$H$7:$H$306,"&lt;&gt;아니오")&gt;1),"중복 의심(같은 문서번호·구분·상태)","정상")))))))))))</f>
        <v/>
      </c>
      <c r="N199" s="15" t="str">
        <f t="shared" ref="N199:N262" si="7">IF(M199="","",IF(M199="정상",0,1))</f>
        <v/>
      </c>
    </row>
    <row r="200" spans="1:14">
      <c r="A200" s="7"/>
      <c r="B200" s="3"/>
      <c r="C200" s="3"/>
      <c r="D200" s="3"/>
      <c r="E200" s="3"/>
      <c r="F200" s="3"/>
      <c r="G200" s="6"/>
      <c r="H200" s="3"/>
      <c r="I200" s="3"/>
      <c r="J200" s="3"/>
      <c r="K200" s="4" t="str">
        <f>IF(AND(D200="",E200=""),"",IF(E200="",1,IFERROR(INDEX(상품·기준!$C$35:$C$38,MATCH(E200,상품·기준!$A$35:$A$38,0)),"단위 확인")))</f>
        <v/>
      </c>
      <c r="L200" s="4" t="str">
        <f t="shared" si="6"/>
        <v/>
      </c>
      <c r="M200" s="4" t="str">
        <f>IF(COUNTA(A200:J200)=0,"",IF(A200="","날짜 미입력",IF(NOT(ISNUMBER(A200)),"날짜 확인(날짜 형식이 아님)",IF(B200="","구분 미입력",IF(D200="","수량 미입력",IF(NOT(ISNUMBER(D200)),"수량 확인(숫자가 아님)",IF(AND(D200&lt;0,B200&lt;&gt;"조정"),"음수 수량(구분으로 방향 표시)",IF(NOT(ISNUMBER(K200)),"단위 확인",IF(AND(OR(B200="입고",B200="기초"),G200=""),"단가 미입력",IF(OR(A200&lt;상품·기준!$C$14,A200&gt;상품·기준!$C$15),"기간 밖",IF(AND(H200&lt;&gt;"아니오",C200&lt;&gt;"",COUNTIFS($C$7:$C$306,C200,$B$7:$B$306,B200,$F$7:$F$306,F200,$H$7:$H$306,"&lt;&gt;아니오")&gt;1),"중복 의심(같은 문서번호·구분·상태)","정상")))))))))))</f>
        <v/>
      </c>
      <c r="N200" s="15" t="str">
        <f t="shared" si="7"/>
        <v/>
      </c>
    </row>
    <row r="201" spans="1:14">
      <c r="A201" s="7"/>
      <c r="B201" s="3"/>
      <c r="C201" s="3"/>
      <c r="D201" s="3"/>
      <c r="E201" s="3"/>
      <c r="F201" s="3"/>
      <c r="G201" s="6"/>
      <c r="H201" s="3"/>
      <c r="I201" s="3"/>
      <c r="J201" s="3"/>
      <c r="K201" s="4" t="str">
        <f>IF(AND(D201="",E201=""),"",IF(E201="",1,IFERROR(INDEX(상품·기준!$C$35:$C$38,MATCH(E201,상품·기준!$A$35:$A$38,0)),"단위 확인")))</f>
        <v/>
      </c>
      <c r="L201" s="4" t="str">
        <f t="shared" si="6"/>
        <v/>
      </c>
      <c r="M201" s="4" t="str">
        <f>IF(COUNTA(A201:J201)=0,"",IF(A201="","날짜 미입력",IF(NOT(ISNUMBER(A201)),"날짜 확인(날짜 형식이 아님)",IF(B201="","구분 미입력",IF(D201="","수량 미입력",IF(NOT(ISNUMBER(D201)),"수량 확인(숫자가 아님)",IF(AND(D201&lt;0,B201&lt;&gt;"조정"),"음수 수량(구분으로 방향 표시)",IF(NOT(ISNUMBER(K201)),"단위 확인",IF(AND(OR(B201="입고",B201="기초"),G201=""),"단가 미입력",IF(OR(A201&lt;상품·기준!$C$14,A201&gt;상품·기준!$C$15),"기간 밖",IF(AND(H201&lt;&gt;"아니오",C201&lt;&gt;"",COUNTIFS($C$7:$C$306,C201,$B$7:$B$306,B201,$F$7:$F$306,F201,$H$7:$H$306,"&lt;&gt;아니오")&gt;1),"중복 의심(같은 문서번호·구분·상태)","정상")))))))))))</f>
        <v/>
      </c>
      <c r="N201" s="15" t="str">
        <f t="shared" si="7"/>
        <v/>
      </c>
    </row>
    <row r="202" spans="1:14">
      <c r="A202" s="7"/>
      <c r="B202" s="3"/>
      <c r="C202" s="3"/>
      <c r="D202" s="3"/>
      <c r="E202" s="3"/>
      <c r="F202" s="3"/>
      <c r="G202" s="6"/>
      <c r="H202" s="3"/>
      <c r="I202" s="3"/>
      <c r="J202" s="3"/>
      <c r="K202" s="4" t="str">
        <f>IF(AND(D202="",E202=""),"",IF(E202="",1,IFERROR(INDEX(상품·기준!$C$35:$C$38,MATCH(E202,상품·기준!$A$35:$A$38,0)),"단위 확인")))</f>
        <v/>
      </c>
      <c r="L202" s="4" t="str">
        <f t="shared" si="6"/>
        <v/>
      </c>
      <c r="M202" s="4" t="str">
        <f>IF(COUNTA(A202:J202)=0,"",IF(A202="","날짜 미입력",IF(NOT(ISNUMBER(A202)),"날짜 확인(날짜 형식이 아님)",IF(B202="","구분 미입력",IF(D202="","수량 미입력",IF(NOT(ISNUMBER(D202)),"수량 확인(숫자가 아님)",IF(AND(D202&lt;0,B202&lt;&gt;"조정"),"음수 수량(구분으로 방향 표시)",IF(NOT(ISNUMBER(K202)),"단위 확인",IF(AND(OR(B202="입고",B202="기초"),G202=""),"단가 미입력",IF(OR(A202&lt;상품·기준!$C$14,A202&gt;상품·기준!$C$15),"기간 밖",IF(AND(H202&lt;&gt;"아니오",C202&lt;&gt;"",COUNTIFS($C$7:$C$306,C202,$B$7:$B$306,B202,$F$7:$F$306,F202,$H$7:$H$306,"&lt;&gt;아니오")&gt;1),"중복 의심(같은 문서번호·구분·상태)","정상")))))))))))</f>
        <v/>
      </c>
      <c r="N202" s="15" t="str">
        <f t="shared" si="7"/>
        <v/>
      </c>
    </row>
    <row r="203" spans="1:14">
      <c r="A203" s="7"/>
      <c r="B203" s="3"/>
      <c r="C203" s="3"/>
      <c r="D203" s="3"/>
      <c r="E203" s="3"/>
      <c r="F203" s="3"/>
      <c r="G203" s="6"/>
      <c r="H203" s="3"/>
      <c r="I203" s="3"/>
      <c r="J203" s="3"/>
      <c r="K203" s="4" t="str">
        <f>IF(AND(D203="",E203=""),"",IF(E203="",1,IFERROR(INDEX(상품·기준!$C$35:$C$38,MATCH(E203,상품·기준!$A$35:$A$38,0)),"단위 확인")))</f>
        <v/>
      </c>
      <c r="L203" s="4" t="str">
        <f t="shared" si="6"/>
        <v/>
      </c>
      <c r="M203" s="4" t="str">
        <f>IF(COUNTA(A203:J203)=0,"",IF(A203="","날짜 미입력",IF(NOT(ISNUMBER(A203)),"날짜 확인(날짜 형식이 아님)",IF(B203="","구분 미입력",IF(D203="","수량 미입력",IF(NOT(ISNUMBER(D203)),"수량 확인(숫자가 아님)",IF(AND(D203&lt;0,B203&lt;&gt;"조정"),"음수 수량(구분으로 방향 표시)",IF(NOT(ISNUMBER(K203)),"단위 확인",IF(AND(OR(B203="입고",B203="기초"),G203=""),"단가 미입력",IF(OR(A203&lt;상품·기준!$C$14,A203&gt;상품·기준!$C$15),"기간 밖",IF(AND(H203&lt;&gt;"아니오",C203&lt;&gt;"",COUNTIFS($C$7:$C$306,C203,$B$7:$B$306,B203,$F$7:$F$306,F203,$H$7:$H$306,"&lt;&gt;아니오")&gt;1),"중복 의심(같은 문서번호·구분·상태)","정상")))))))))))</f>
        <v/>
      </c>
      <c r="N203" s="15" t="str">
        <f t="shared" si="7"/>
        <v/>
      </c>
    </row>
    <row r="204" spans="1:14">
      <c r="A204" s="7"/>
      <c r="B204" s="3"/>
      <c r="C204" s="3"/>
      <c r="D204" s="3"/>
      <c r="E204" s="3"/>
      <c r="F204" s="3"/>
      <c r="G204" s="6"/>
      <c r="H204" s="3"/>
      <c r="I204" s="3"/>
      <c r="J204" s="3"/>
      <c r="K204" s="4" t="str">
        <f>IF(AND(D204="",E204=""),"",IF(E204="",1,IFERROR(INDEX(상품·기준!$C$35:$C$38,MATCH(E204,상품·기준!$A$35:$A$38,0)),"단위 확인")))</f>
        <v/>
      </c>
      <c r="L204" s="4" t="str">
        <f t="shared" si="6"/>
        <v/>
      </c>
      <c r="M204" s="4" t="str">
        <f>IF(COUNTA(A204:J204)=0,"",IF(A204="","날짜 미입력",IF(NOT(ISNUMBER(A204)),"날짜 확인(날짜 형식이 아님)",IF(B204="","구분 미입력",IF(D204="","수량 미입력",IF(NOT(ISNUMBER(D204)),"수량 확인(숫자가 아님)",IF(AND(D204&lt;0,B204&lt;&gt;"조정"),"음수 수량(구분으로 방향 표시)",IF(NOT(ISNUMBER(K204)),"단위 확인",IF(AND(OR(B204="입고",B204="기초"),G204=""),"단가 미입력",IF(OR(A204&lt;상품·기준!$C$14,A204&gt;상품·기준!$C$15),"기간 밖",IF(AND(H204&lt;&gt;"아니오",C204&lt;&gt;"",COUNTIFS($C$7:$C$306,C204,$B$7:$B$306,B204,$F$7:$F$306,F204,$H$7:$H$306,"&lt;&gt;아니오")&gt;1),"중복 의심(같은 문서번호·구분·상태)","정상")))))))))))</f>
        <v/>
      </c>
      <c r="N204" s="15" t="str">
        <f t="shared" si="7"/>
        <v/>
      </c>
    </row>
    <row r="205" spans="1:14">
      <c r="A205" s="7"/>
      <c r="B205" s="3"/>
      <c r="C205" s="3"/>
      <c r="D205" s="3"/>
      <c r="E205" s="3"/>
      <c r="F205" s="3"/>
      <c r="G205" s="6"/>
      <c r="H205" s="3"/>
      <c r="I205" s="3"/>
      <c r="J205" s="3"/>
      <c r="K205" s="4" t="str">
        <f>IF(AND(D205="",E205=""),"",IF(E205="",1,IFERROR(INDEX(상품·기준!$C$35:$C$38,MATCH(E205,상품·기준!$A$35:$A$38,0)),"단위 확인")))</f>
        <v/>
      </c>
      <c r="L205" s="4" t="str">
        <f t="shared" si="6"/>
        <v/>
      </c>
      <c r="M205" s="4" t="str">
        <f>IF(COUNTA(A205:J205)=0,"",IF(A205="","날짜 미입력",IF(NOT(ISNUMBER(A205)),"날짜 확인(날짜 형식이 아님)",IF(B205="","구분 미입력",IF(D205="","수량 미입력",IF(NOT(ISNUMBER(D205)),"수량 확인(숫자가 아님)",IF(AND(D205&lt;0,B205&lt;&gt;"조정"),"음수 수량(구분으로 방향 표시)",IF(NOT(ISNUMBER(K205)),"단위 확인",IF(AND(OR(B205="입고",B205="기초"),G205=""),"단가 미입력",IF(OR(A205&lt;상품·기준!$C$14,A205&gt;상품·기준!$C$15),"기간 밖",IF(AND(H205&lt;&gt;"아니오",C205&lt;&gt;"",COUNTIFS($C$7:$C$306,C205,$B$7:$B$306,B205,$F$7:$F$306,F205,$H$7:$H$306,"&lt;&gt;아니오")&gt;1),"중복 의심(같은 문서번호·구분·상태)","정상")))))))))))</f>
        <v/>
      </c>
      <c r="N205" s="15" t="str">
        <f t="shared" si="7"/>
        <v/>
      </c>
    </row>
    <row r="206" spans="1:14">
      <c r="A206" s="7"/>
      <c r="B206" s="3"/>
      <c r="C206" s="3"/>
      <c r="D206" s="3"/>
      <c r="E206" s="3"/>
      <c r="F206" s="3"/>
      <c r="G206" s="6"/>
      <c r="H206" s="3"/>
      <c r="I206" s="3"/>
      <c r="J206" s="3"/>
      <c r="K206" s="4" t="str">
        <f>IF(AND(D206="",E206=""),"",IF(E206="",1,IFERROR(INDEX(상품·기준!$C$35:$C$38,MATCH(E206,상품·기준!$A$35:$A$38,0)),"단위 확인")))</f>
        <v/>
      </c>
      <c r="L206" s="4" t="str">
        <f t="shared" si="6"/>
        <v/>
      </c>
      <c r="M206" s="4" t="str">
        <f>IF(COUNTA(A206:J206)=0,"",IF(A206="","날짜 미입력",IF(NOT(ISNUMBER(A206)),"날짜 확인(날짜 형식이 아님)",IF(B206="","구분 미입력",IF(D206="","수량 미입력",IF(NOT(ISNUMBER(D206)),"수량 확인(숫자가 아님)",IF(AND(D206&lt;0,B206&lt;&gt;"조정"),"음수 수량(구분으로 방향 표시)",IF(NOT(ISNUMBER(K206)),"단위 확인",IF(AND(OR(B206="입고",B206="기초"),G206=""),"단가 미입력",IF(OR(A206&lt;상품·기준!$C$14,A206&gt;상품·기준!$C$15),"기간 밖",IF(AND(H206&lt;&gt;"아니오",C206&lt;&gt;"",COUNTIFS($C$7:$C$306,C206,$B$7:$B$306,B206,$F$7:$F$306,F206,$H$7:$H$306,"&lt;&gt;아니오")&gt;1),"중복 의심(같은 문서번호·구분·상태)","정상")))))))))))</f>
        <v/>
      </c>
      <c r="N206" s="15" t="str">
        <f t="shared" si="7"/>
        <v/>
      </c>
    </row>
    <row r="207" spans="1:14">
      <c r="A207" s="7"/>
      <c r="B207" s="3"/>
      <c r="C207" s="3"/>
      <c r="D207" s="3"/>
      <c r="E207" s="3"/>
      <c r="F207" s="3"/>
      <c r="G207" s="6"/>
      <c r="H207" s="3"/>
      <c r="I207" s="3"/>
      <c r="J207" s="3"/>
      <c r="K207" s="4" t="str">
        <f>IF(AND(D207="",E207=""),"",IF(E207="",1,IFERROR(INDEX(상품·기준!$C$35:$C$38,MATCH(E207,상품·기준!$A$35:$A$38,0)),"단위 확인")))</f>
        <v/>
      </c>
      <c r="L207" s="4" t="str">
        <f t="shared" si="6"/>
        <v/>
      </c>
      <c r="M207" s="4" t="str">
        <f>IF(COUNTA(A207:J207)=0,"",IF(A207="","날짜 미입력",IF(NOT(ISNUMBER(A207)),"날짜 확인(날짜 형식이 아님)",IF(B207="","구분 미입력",IF(D207="","수량 미입력",IF(NOT(ISNUMBER(D207)),"수량 확인(숫자가 아님)",IF(AND(D207&lt;0,B207&lt;&gt;"조정"),"음수 수량(구분으로 방향 표시)",IF(NOT(ISNUMBER(K207)),"단위 확인",IF(AND(OR(B207="입고",B207="기초"),G207=""),"단가 미입력",IF(OR(A207&lt;상품·기준!$C$14,A207&gt;상품·기준!$C$15),"기간 밖",IF(AND(H207&lt;&gt;"아니오",C207&lt;&gt;"",COUNTIFS($C$7:$C$306,C207,$B$7:$B$306,B207,$F$7:$F$306,F207,$H$7:$H$306,"&lt;&gt;아니오")&gt;1),"중복 의심(같은 문서번호·구분·상태)","정상")))))))))))</f>
        <v/>
      </c>
      <c r="N207" s="15" t="str">
        <f t="shared" si="7"/>
        <v/>
      </c>
    </row>
    <row r="208" spans="1:14">
      <c r="A208" s="7"/>
      <c r="B208" s="3"/>
      <c r="C208" s="3"/>
      <c r="D208" s="3"/>
      <c r="E208" s="3"/>
      <c r="F208" s="3"/>
      <c r="G208" s="6"/>
      <c r="H208" s="3"/>
      <c r="I208" s="3"/>
      <c r="J208" s="3"/>
      <c r="K208" s="4" t="str">
        <f>IF(AND(D208="",E208=""),"",IF(E208="",1,IFERROR(INDEX(상품·기준!$C$35:$C$38,MATCH(E208,상품·기준!$A$35:$A$38,0)),"단위 확인")))</f>
        <v/>
      </c>
      <c r="L208" s="4" t="str">
        <f t="shared" si="6"/>
        <v/>
      </c>
      <c r="M208" s="4" t="str">
        <f>IF(COUNTA(A208:J208)=0,"",IF(A208="","날짜 미입력",IF(NOT(ISNUMBER(A208)),"날짜 확인(날짜 형식이 아님)",IF(B208="","구분 미입력",IF(D208="","수량 미입력",IF(NOT(ISNUMBER(D208)),"수량 확인(숫자가 아님)",IF(AND(D208&lt;0,B208&lt;&gt;"조정"),"음수 수량(구분으로 방향 표시)",IF(NOT(ISNUMBER(K208)),"단위 확인",IF(AND(OR(B208="입고",B208="기초"),G208=""),"단가 미입력",IF(OR(A208&lt;상품·기준!$C$14,A208&gt;상품·기준!$C$15),"기간 밖",IF(AND(H208&lt;&gt;"아니오",C208&lt;&gt;"",COUNTIFS($C$7:$C$306,C208,$B$7:$B$306,B208,$F$7:$F$306,F208,$H$7:$H$306,"&lt;&gt;아니오")&gt;1),"중복 의심(같은 문서번호·구분·상태)","정상")))))))))))</f>
        <v/>
      </c>
      <c r="N208" s="15" t="str">
        <f t="shared" si="7"/>
        <v/>
      </c>
    </row>
    <row r="209" spans="1:14">
      <c r="A209" s="7"/>
      <c r="B209" s="3"/>
      <c r="C209" s="3"/>
      <c r="D209" s="3"/>
      <c r="E209" s="3"/>
      <c r="F209" s="3"/>
      <c r="G209" s="6"/>
      <c r="H209" s="3"/>
      <c r="I209" s="3"/>
      <c r="J209" s="3"/>
      <c r="K209" s="4" t="str">
        <f>IF(AND(D209="",E209=""),"",IF(E209="",1,IFERROR(INDEX(상품·기준!$C$35:$C$38,MATCH(E209,상품·기준!$A$35:$A$38,0)),"단위 확인")))</f>
        <v/>
      </c>
      <c r="L209" s="4" t="str">
        <f t="shared" si="6"/>
        <v/>
      </c>
      <c r="M209" s="4" t="str">
        <f>IF(COUNTA(A209:J209)=0,"",IF(A209="","날짜 미입력",IF(NOT(ISNUMBER(A209)),"날짜 확인(날짜 형식이 아님)",IF(B209="","구분 미입력",IF(D209="","수량 미입력",IF(NOT(ISNUMBER(D209)),"수량 확인(숫자가 아님)",IF(AND(D209&lt;0,B209&lt;&gt;"조정"),"음수 수량(구분으로 방향 표시)",IF(NOT(ISNUMBER(K209)),"단위 확인",IF(AND(OR(B209="입고",B209="기초"),G209=""),"단가 미입력",IF(OR(A209&lt;상품·기준!$C$14,A209&gt;상품·기준!$C$15),"기간 밖",IF(AND(H209&lt;&gt;"아니오",C209&lt;&gt;"",COUNTIFS($C$7:$C$306,C209,$B$7:$B$306,B209,$F$7:$F$306,F209,$H$7:$H$306,"&lt;&gt;아니오")&gt;1),"중복 의심(같은 문서번호·구분·상태)","정상")))))))))))</f>
        <v/>
      </c>
      <c r="N209" s="15" t="str">
        <f t="shared" si="7"/>
        <v/>
      </c>
    </row>
    <row r="210" spans="1:14">
      <c r="A210" s="7"/>
      <c r="B210" s="3"/>
      <c r="C210" s="3"/>
      <c r="D210" s="3"/>
      <c r="E210" s="3"/>
      <c r="F210" s="3"/>
      <c r="G210" s="6"/>
      <c r="H210" s="3"/>
      <c r="I210" s="3"/>
      <c r="J210" s="3"/>
      <c r="K210" s="4" t="str">
        <f>IF(AND(D210="",E210=""),"",IF(E210="",1,IFERROR(INDEX(상품·기준!$C$35:$C$38,MATCH(E210,상품·기준!$A$35:$A$38,0)),"단위 확인")))</f>
        <v/>
      </c>
      <c r="L210" s="4" t="str">
        <f t="shared" si="6"/>
        <v/>
      </c>
      <c r="M210" s="4" t="str">
        <f>IF(COUNTA(A210:J210)=0,"",IF(A210="","날짜 미입력",IF(NOT(ISNUMBER(A210)),"날짜 확인(날짜 형식이 아님)",IF(B210="","구분 미입력",IF(D210="","수량 미입력",IF(NOT(ISNUMBER(D210)),"수량 확인(숫자가 아님)",IF(AND(D210&lt;0,B210&lt;&gt;"조정"),"음수 수량(구분으로 방향 표시)",IF(NOT(ISNUMBER(K210)),"단위 확인",IF(AND(OR(B210="입고",B210="기초"),G210=""),"단가 미입력",IF(OR(A210&lt;상품·기준!$C$14,A210&gt;상품·기준!$C$15),"기간 밖",IF(AND(H210&lt;&gt;"아니오",C210&lt;&gt;"",COUNTIFS($C$7:$C$306,C210,$B$7:$B$306,B210,$F$7:$F$306,F210,$H$7:$H$306,"&lt;&gt;아니오")&gt;1),"중복 의심(같은 문서번호·구분·상태)","정상")))))))))))</f>
        <v/>
      </c>
      <c r="N210" s="15" t="str">
        <f t="shared" si="7"/>
        <v/>
      </c>
    </row>
    <row r="211" spans="1:14">
      <c r="A211" s="7"/>
      <c r="B211" s="3"/>
      <c r="C211" s="3"/>
      <c r="D211" s="3"/>
      <c r="E211" s="3"/>
      <c r="F211" s="3"/>
      <c r="G211" s="6"/>
      <c r="H211" s="3"/>
      <c r="I211" s="3"/>
      <c r="J211" s="3"/>
      <c r="K211" s="4" t="str">
        <f>IF(AND(D211="",E211=""),"",IF(E211="",1,IFERROR(INDEX(상품·기준!$C$35:$C$38,MATCH(E211,상품·기준!$A$35:$A$38,0)),"단위 확인")))</f>
        <v/>
      </c>
      <c r="L211" s="4" t="str">
        <f t="shared" si="6"/>
        <v/>
      </c>
      <c r="M211" s="4" t="str">
        <f>IF(COUNTA(A211:J211)=0,"",IF(A211="","날짜 미입력",IF(NOT(ISNUMBER(A211)),"날짜 확인(날짜 형식이 아님)",IF(B211="","구분 미입력",IF(D211="","수량 미입력",IF(NOT(ISNUMBER(D211)),"수량 확인(숫자가 아님)",IF(AND(D211&lt;0,B211&lt;&gt;"조정"),"음수 수량(구분으로 방향 표시)",IF(NOT(ISNUMBER(K211)),"단위 확인",IF(AND(OR(B211="입고",B211="기초"),G211=""),"단가 미입력",IF(OR(A211&lt;상품·기준!$C$14,A211&gt;상품·기준!$C$15),"기간 밖",IF(AND(H211&lt;&gt;"아니오",C211&lt;&gt;"",COUNTIFS($C$7:$C$306,C211,$B$7:$B$306,B211,$F$7:$F$306,F211,$H$7:$H$306,"&lt;&gt;아니오")&gt;1),"중복 의심(같은 문서번호·구분·상태)","정상")))))))))))</f>
        <v/>
      </c>
      <c r="N211" s="15" t="str">
        <f t="shared" si="7"/>
        <v/>
      </c>
    </row>
    <row r="212" spans="1:14">
      <c r="A212" s="7"/>
      <c r="B212" s="3"/>
      <c r="C212" s="3"/>
      <c r="D212" s="3"/>
      <c r="E212" s="3"/>
      <c r="F212" s="3"/>
      <c r="G212" s="6"/>
      <c r="H212" s="3"/>
      <c r="I212" s="3"/>
      <c r="J212" s="3"/>
      <c r="K212" s="4" t="str">
        <f>IF(AND(D212="",E212=""),"",IF(E212="",1,IFERROR(INDEX(상품·기준!$C$35:$C$38,MATCH(E212,상품·기준!$A$35:$A$38,0)),"단위 확인")))</f>
        <v/>
      </c>
      <c r="L212" s="4" t="str">
        <f t="shared" si="6"/>
        <v/>
      </c>
      <c r="M212" s="4" t="str">
        <f>IF(COUNTA(A212:J212)=0,"",IF(A212="","날짜 미입력",IF(NOT(ISNUMBER(A212)),"날짜 확인(날짜 형식이 아님)",IF(B212="","구분 미입력",IF(D212="","수량 미입력",IF(NOT(ISNUMBER(D212)),"수량 확인(숫자가 아님)",IF(AND(D212&lt;0,B212&lt;&gt;"조정"),"음수 수량(구분으로 방향 표시)",IF(NOT(ISNUMBER(K212)),"단위 확인",IF(AND(OR(B212="입고",B212="기초"),G212=""),"단가 미입력",IF(OR(A212&lt;상품·기준!$C$14,A212&gt;상품·기준!$C$15),"기간 밖",IF(AND(H212&lt;&gt;"아니오",C212&lt;&gt;"",COUNTIFS($C$7:$C$306,C212,$B$7:$B$306,B212,$F$7:$F$306,F212,$H$7:$H$306,"&lt;&gt;아니오")&gt;1),"중복 의심(같은 문서번호·구분·상태)","정상")))))))))))</f>
        <v/>
      </c>
      <c r="N212" s="15" t="str">
        <f t="shared" si="7"/>
        <v/>
      </c>
    </row>
    <row r="213" spans="1:14">
      <c r="A213" s="7"/>
      <c r="B213" s="3"/>
      <c r="C213" s="3"/>
      <c r="D213" s="3"/>
      <c r="E213" s="3"/>
      <c r="F213" s="3"/>
      <c r="G213" s="6"/>
      <c r="H213" s="3"/>
      <c r="I213" s="3"/>
      <c r="J213" s="3"/>
      <c r="K213" s="4" t="str">
        <f>IF(AND(D213="",E213=""),"",IF(E213="",1,IFERROR(INDEX(상품·기준!$C$35:$C$38,MATCH(E213,상품·기준!$A$35:$A$38,0)),"단위 확인")))</f>
        <v/>
      </c>
      <c r="L213" s="4" t="str">
        <f t="shared" si="6"/>
        <v/>
      </c>
      <c r="M213" s="4" t="str">
        <f>IF(COUNTA(A213:J213)=0,"",IF(A213="","날짜 미입력",IF(NOT(ISNUMBER(A213)),"날짜 확인(날짜 형식이 아님)",IF(B213="","구분 미입력",IF(D213="","수량 미입력",IF(NOT(ISNUMBER(D213)),"수량 확인(숫자가 아님)",IF(AND(D213&lt;0,B213&lt;&gt;"조정"),"음수 수량(구분으로 방향 표시)",IF(NOT(ISNUMBER(K213)),"단위 확인",IF(AND(OR(B213="입고",B213="기초"),G213=""),"단가 미입력",IF(OR(A213&lt;상품·기준!$C$14,A213&gt;상품·기준!$C$15),"기간 밖",IF(AND(H213&lt;&gt;"아니오",C213&lt;&gt;"",COUNTIFS($C$7:$C$306,C213,$B$7:$B$306,B213,$F$7:$F$306,F213,$H$7:$H$306,"&lt;&gt;아니오")&gt;1),"중복 의심(같은 문서번호·구분·상태)","정상")))))))))))</f>
        <v/>
      </c>
      <c r="N213" s="15" t="str">
        <f t="shared" si="7"/>
        <v/>
      </c>
    </row>
    <row r="214" spans="1:14">
      <c r="A214" s="7"/>
      <c r="B214" s="3"/>
      <c r="C214" s="3"/>
      <c r="D214" s="3"/>
      <c r="E214" s="3"/>
      <c r="F214" s="3"/>
      <c r="G214" s="6"/>
      <c r="H214" s="3"/>
      <c r="I214" s="3"/>
      <c r="J214" s="3"/>
      <c r="K214" s="4" t="str">
        <f>IF(AND(D214="",E214=""),"",IF(E214="",1,IFERROR(INDEX(상품·기준!$C$35:$C$38,MATCH(E214,상품·기준!$A$35:$A$38,0)),"단위 확인")))</f>
        <v/>
      </c>
      <c r="L214" s="4" t="str">
        <f t="shared" si="6"/>
        <v/>
      </c>
      <c r="M214" s="4" t="str">
        <f>IF(COUNTA(A214:J214)=0,"",IF(A214="","날짜 미입력",IF(NOT(ISNUMBER(A214)),"날짜 확인(날짜 형식이 아님)",IF(B214="","구분 미입력",IF(D214="","수량 미입력",IF(NOT(ISNUMBER(D214)),"수량 확인(숫자가 아님)",IF(AND(D214&lt;0,B214&lt;&gt;"조정"),"음수 수량(구분으로 방향 표시)",IF(NOT(ISNUMBER(K214)),"단위 확인",IF(AND(OR(B214="입고",B214="기초"),G214=""),"단가 미입력",IF(OR(A214&lt;상품·기준!$C$14,A214&gt;상품·기준!$C$15),"기간 밖",IF(AND(H214&lt;&gt;"아니오",C214&lt;&gt;"",COUNTIFS($C$7:$C$306,C214,$B$7:$B$306,B214,$F$7:$F$306,F214,$H$7:$H$306,"&lt;&gt;아니오")&gt;1),"중복 의심(같은 문서번호·구분·상태)","정상")))))))))))</f>
        <v/>
      </c>
      <c r="N214" s="15" t="str">
        <f t="shared" si="7"/>
        <v/>
      </c>
    </row>
    <row r="215" spans="1:14">
      <c r="A215" s="7"/>
      <c r="B215" s="3"/>
      <c r="C215" s="3"/>
      <c r="D215" s="3"/>
      <c r="E215" s="3"/>
      <c r="F215" s="3"/>
      <c r="G215" s="6"/>
      <c r="H215" s="3"/>
      <c r="I215" s="3"/>
      <c r="J215" s="3"/>
      <c r="K215" s="4" t="str">
        <f>IF(AND(D215="",E215=""),"",IF(E215="",1,IFERROR(INDEX(상품·기준!$C$35:$C$38,MATCH(E215,상품·기준!$A$35:$A$38,0)),"단위 확인")))</f>
        <v/>
      </c>
      <c r="L215" s="4" t="str">
        <f t="shared" si="6"/>
        <v/>
      </c>
      <c r="M215" s="4" t="str">
        <f>IF(COUNTA(A215:J215)=0,"",IF(A215="","날짜 미입력",IF(NOT(ISNUMBER(A215)),"날짜 확인(날짜 형식이 아님)",IF(B215="","구분 미입력",IF(D215="","수량 미입력",IF(NOT(ISNUMBER(D215)),"수량 확인(숫자가 아님)",IF(AND(D215&lt;0,B215&lt;&gt;"조정"),"음수 수량(구분으로 방향 표시)",IF(NOT(ISNUMBER(K215)),"단위 확인",IF(AND(OR(B215="입고",B215="기초"),G215=""),"단가 미입력",IF(OR(A215&lt;상품·기준!$C$14,A215&gt;상품·기준!$C$15),"기간 밖",IF(AND(H215&lt;&gt;"아니오",C215&lt;&gt;"",COUNTIFS($C$7:$C$306,C215,$B$7:$B$306,B215,$F$7:$F$306,F215,$H$7:$H$306,"&lt;&gt;아니오")&gt;1),"중복 의심(같은 문서번호·구분·상태)","정상")))))))))))</f>
        <v/>
      </c>
      <c r="N215" s="15" t="str">
        <f t="shared" si="7"/>
        <v/>
      </c>
    </row>
    <row r="216" spans="1:14">
      <c r="A216" s="7"/>
      <c r="B216" s="3"/>
      <c r="C216" s="3"/>
      <c r="D216" s="3"/>
      <c r="E216" s="3"/>
      <c r="F216" s="3"/>
      <c r="G216" s="6"/>
      <c r="H216" s="3"/>
      <c r="I216" s="3"/>
      <c r="J216" s="3"/>
      <c r="K216" s="4" t="str">
        <f>IF(AND(D216="",E216=""),"",IF(E216="",1,IFERROR(INDEX(상품·기준!$C$35:$C$38,MATCH(E216,상품·기준!$A$35:$A$38,0)),"단위 확인")))</f>
        <v/>
      </c>
      <c r="L216" s="4" t="str">
        <f t="shared" si="6"/>
        <v/>
      </c>
      <c r="M216" s="4" t="str">
        <f>IF(COUNTA(A216:J216)=0,"",IF(A216="","날짜 미입력",IF(NOT(ISNUMBER(A216)),"날짜 확인(날짜 형식이 아님)",IF(B216="","구분 미입력",IF(D216="","수량 미입력",IF(NOT(ISNUMBER(D216)),"수량 확인(숫자가 아님)",IF(AND(D216&lt;0,B216&lt;&gt;"조정"),"음수 수량(구분으로 방향 표시)",IF(NOT(ISNUMBER(K216)),"단위 확인",IF(AND(OR(B216="입고",B216="기초"),G216=""),"단가 미입력",IF(OR(A216&lt;상품·기준!$C$14,A216&gt;상품·기준!$C$15),"기간 밖",IF(AND(H216&lt;&gt;"아니오",C216&lt;&gt;"",COUNTIFS($C$7:$C$306,C216,$B$7:$B$306,B216,$F$7:$F$306,F216,$H$7:$H$306,"&lt;&gt;아니오")&gt;1),"중복 의심(같은 문서번호·구분·상태)","정상")))))))))))</f>
        <v/>
      </c>
      <c r="N216" s="15" t="str">
        <f t="shared" si="7"/>
        <v/>
      </c>
    </row>
    <row r="217" spans="1:14">
      <c r="A217" s="7"/>
      <c r="B217" s="3"/>
      <c r="C217" s="3"/>
      <c r="D217" s="3"/>
      <c r="E217" s="3"/>
      <c r="F217" s="3"/>
      <c r="G217" s="6"/>
      <c r="H217" s="3"/>
      <c r="I217" s="3"/>
      <c r="J217" s="3"/>
      <c r="K217" s="4" t="str">
        <f>IF(AND(D217="",E217=""),"",IF(E217="",1,IFERROR(INDEX(상품·기준!$C$35:$C$38,MATCH(E217,상품·기준!$A$35:$A$38,0)),"단위 확인")))</f>
        <v/>
      </c>
      <c r="L217" s="4" t="str">
        <f t="shared" si="6"/>
        <v/>
      </c>
      <c r="M217" s="4" t="str">
        <f>IF(COUNTA(A217:J217)=0,"",IF(A217="","날짜 미입력",IF(NOT(ISNUMBER(A217)),"날짜 확인(날짜 형식이 아님)",IF(B217="","구분 미입력",IF(D217="","수량 미입력",IF(NOT(ISNUMBER(D217)),"수량 확인(숫자가 아님)",IF(AND(D217&lt;0,B217&lt;&gt;"조정"),"음수 수량(구분으로 방향 표시)",IF(NOT(ISNUMBER(K217)),"단위 확인",IF(AND(OR(B217="입고",B217="기초"),G217=""),"단가 미입력",IF(OR(A217&lt;상품·기준!$C$14,A217&gt;상품·기준!$C$15),"기간 밖",IF(AND(H217&lt;&gt;"아니오",C217&lt;&gt;"",COUNTIFS($C$7:$C$306,C217,$B$7:$B$306,B217,$F$7:$F$306,F217,$H$7:$H$306,"&lt;&gt;아니오")&gt;1),"중복 의심(같은 문서번호·구분·상태)","정상")))))))))))</f>
        <v/>
      </c>
      <c r="N217" s="15" t="str">
        <f t="shared" si="7"/>
        <v/>
      </c>
    </row>
    <row r="218" spans="1:14">
      <c r="A218" s="7"/>
      <c r="B218" s="3"/>
      <c r="C218" s="3"/>
      <c r="D218" s="3"/>
      <c r="E218" s="3"/>
      <c r="F218" s="3"/>
      <c r="G218" s="6"/>
      <c r="H218" s="3"/>
      <c r="I218" s="3"/>
      <c r="J218" s="3"/>
      <c r="K218" s="4" t="str">
        <f>IF(AND(D218="",E218=""),"",IF(E218="",1,IFERROR(INDEX(상품·기준!$C$35:$C$38,MATCH(E218,상품·기준!$A$35:$A$38,0)),"단위 확인")))</f>
        <v/>
      </c>
      <c r="L218" s="4" t="str">
        <f t="shared" si="6"/>
        <v/>
      </c>
      <c r="M218" s="4" t="str">
        <f>IF(COUNTA(A218:J218)=0,"",IF(A218="","날짜 미입력",IF(NOT(ISNUMBER(A218)),"날짜 확인(날짜 형식이 아님)",IF(B218="","구분 미입력",IF(D218="","수량 미입력",IF(NOT(ISNUMBER(D218)),"수량 확인(숫자가 아님)",IF(AND(D218&lt;0,B218&lt;&gt;"조정"),"음수 수량(구분으로 방향 표시)",IF(NOT(ISNUMBER(K218)),"단위 확인",IF(AND(OR(B218="입고",B218="기초"),G218=""),"단가 미입력",IF(OR(A218&lt;상품·기준!$C$14,A218&gt;상품·기준!$C$15),"기간 밖",IF(AND(H218&lt;&gt;"아니오",C218&lt;&gt;"",COUNTIFS($C$7:$C$306,C218,$B$7:$B$306,B218,$F$7:$F$306,F218,$H$7:$H$306,"&lt;&gt;아니오")&gt;1),"중복 의심(같은 문서번호·구분·상태)","정상")))))))))))</f>
        <v/>
      </c>
      <c r="N218" s="15" t="str">
        <f t="shared" si="7"/>
        <v/>
      </c>
    </row>
    <row r="219" spans="1:14">
      <c r="A219" s="7"/>
      <c r="B219" s="3"/>
      <c r="C219" s="3"/>
      <c r="D219" s="3"/>
      <c r="E219" s="3"/>
      <c r="F219" s="3"/>
      <c r="G219" s="6"/>
      <c r="H219" s="3"/>
      <c r="I219" s="3"/>
      <c r="J219" s="3"/>
      <c r="K219" s="4" t="str">
        <f>IF(AND(D219="",E219=""),"",IF(E219="",1,IFERROR(INDEX(상품·기준!$C$35:$C$38,MATCH(E219,상품·기준!$A$35:$A$38,0)),"단위 확인")))</f>
        <v/>
      </c>
      <c r="L219" s="4" t="str">
        <f t="shared" si="6"/>
        <v/>
      </c>
      <c r="M219" s="4" t="str">
        <f>IF(COUNTA(A219:J219)=0,"",IF(A219="","날짜 미입력",IF(NOT(ISNUMBER(A219)),"날짜 확인(날짜 형식이 아님)",IF(B219="","구분 미입력",IF(D219="","수량 미입력",IF(NOT(ISNUMBER(D219)),"수량 확인(숫자가 아님)",IF(AND(D219&lt;0,B219&lt;&gt;"조정"),"음수 수량(구분으로 방향 표시)",IF(NOT(ISNUMBER(K219)),"단위 확인",IF(AND(OR(B219="입고",B219="기초"),G219=""),"단가 미입력",IF(OR(A219&lt;상품·기준!$C$14,A219&gt;상품·기준!$C$15),"기간 밖",IF(AND(H219&lt;&gt;"아니오",C219&lt;&gt;"",COUNTIFS($C$7:$C$306,C219,$B$7:$B$306,B219,$F$7:$F$306,F219,$H$7:$H$306,"&lt;&gt;아니오")&gt;1),"중복 의심(같은 문서번호·구분·상태)","정상")))))))))))</f>
        <v/>
      </c>
      <c r="N219" s="15" t="str">
        <f t="shared" si="7"/>
        <v/>
      </c>
    </row>
    <row r="220" spans="1:14">
      <c r="A220" s="7"/>
      <c r="B220" s="3"/>
      <c r="C220" s="3"/>
      <c r="D220" s="3"/>
      <c r="E220" s="3"/>
      <c r="F220" s="3"/>
      <c r="G220" s="6"/>
      <c r="H220" s="3"/>
      <c r="I220" s="3"/>
      <c r="J220" s="3"/>
      <c r="K220" s="4" t="str">
        <f>IF(AND(D220="",E220=""),"",IF(E220="",1,IFERROR(INDEX(상품·기준!$C$35:$C$38,MATCH(E220,상품·기준!$A$35:$A$38,0)),"단위 확인")))</f>
        <v/>
      </c>
      <c r="L220" s="4" t="str">
        <f t="shared" si="6"/>
        <v/>
      </c>
      <c r="M220" s="4" t="str">
        <f>IF(COUNTA(A220:J220)=0,"",IF(A220="","날짜 미입력",IF(NOT(ISNUMBER(A220)),"날짜 확인(날짜 형식이 아님)",IF(B220="","구분 미입력",IF(D220="","수량 미입력",IF(NOT(ISNUMBER(D220)),"수량 확인(숫자가 아님)",IF(AND(D220&lt;0,B220&lt;&gt;"조정"),"음수 수량(구분으로 방향 표시)",IF(NOT(ISNUMBER(K220)),"단위 확인",IF(AND(OR(B220="입고",B220="기초"),G220=""),"단가 미입력",IF(OR(A220&lt;상품·기준!$C$14,A220&gt;상품·기준!$C$15),"기간 밖",IF(AND(H220&lt;&gt;"아니오",C220&lt;&gt;"",COUNTIFS($C$7:$C$306,C220,$B$7:$B$306,B220,$F$7:$F$306,F220,$H$7:$H$306,"&lt;&gt;아니오")&gt;1),"중복 의심(같은 문서번호·구분·상태)","정상")))))))))))</f>
        <v/>
      </c>
      <c r="N220" s="15" t="str">
        <f t="shared" si="7"/>
        <v/>
      </c>
    </row>
    <row r="221" spans="1:14">
      <c r="A221" s="7"/>
      <c r="B221" s="3"/>
      <c r="C221" s="3"/>
      <c r="D221" s="3"/>
      <c r="E221" s="3"/>
      <c r="F221" s="3"/>
      <c r="G221" s="6"/>
      <c r="H221" s="3"/>
      <c r="I221" s="3"/>
      <c r="J221" s="3"/>
      <c r="K221" s="4" t="str">
        <f>IF(AND(D221="",E221=""),"",IF(E221="",1,IFERROR(INDEX(상품·기준!$C$35:$C$38,MATCH(E221,상품·기준!$A$35:$A$38,0)),"단위 확인")))</f>
        <v/>
      </c>
      <c r="L221" s="4" t="str">
        <f t="shared" si="6"/>
        <v/>
      </c>
      <c r="M221" s="4" t="str">
        <f>IF(COUNTA(A221:J221)=0,"",IF(A221="","날짜 미입력",IF(NOT(ISNUMBER(A221)),"날짜 확인(날짜 형식이 아님)",IF(B221="","구분 미입력",IF(D221="","수량 미입력",IF(NOT(ISNUMBER(D221)),"수량 확인(숫자가 아님)",IF(AND(D221&lt;0,B221&lt;&gt;"조정"),"음수 수량(구분으로 방향 표시)",IF(NOT(ISNUMBER(K221)),"단위 확인",IF(AND(OR(B221="입고",B221="기초"),G221=""),"단가 미입력",IF(OR(A221&lt;상품·기준!$C$14,A221&gt;상품·기준!$C$15),"기간 밖",IF(AND(H221&lt;&gt;"아니오",C221&lt;&gt;"",COUNTIFS($C$7:$C$306,C221,$B$7:$B$306,B221,$F$7:$F$306,F221,$H$7:$H$306,"&lt;&gt;아니오")&gt;1),"중복 의심(같은 문서번호·구분·상태)","정상")))))))))))</f>
        <v/>
      </c>
      <c r="N221" s="15" t="str">
        <f t="shared" si="7"/>
        <v/>
      </c>
    </row>
    <row r="222" spans="1:14">
      <c r="A222" s="7"/>
      <c r="B222" s="3"/>
      <c r="C222" s="3"/>
      <c r="D222" s="3"/>
      <c r="E222" s="3"/>
      <c r="F222" s="3"/>
      <c r="G222" s="6"/>
      <c r="H222" s="3"/>
      <c r="I222" s="3"/>
      <c r="J222" s="3"/>
      <c r="K222" s="4" t="str">
        <f>IF(AND(D222="",E222=""),"",IF(E222="",1,IFERROR(INDEX(상품·기준!$C$35:$C$38,MATCH(E222,상품·기준!$A$35:$A$38,0)),"단위 확인")))</f>
        <v/>
      </c>
      <c r="L222" s="4" t="str">
        <f t="shared" si="6"/>
        <v/>
      </c>
      <c r="M222" s="4" t="str">
        <f>IF(COUNTA(A222:J222)=0,"",IF(A222="","날짜 미입력",IF(NOT(ISNUMBER(A222)),"날짜 확인(날짜 형식이 아님)",IF(B222="","구분 미입력",IF(D222="","수량 미입력",IF(NOT(ISNUMBER(D222)),"수량 확인(숫자가 아님)",IF(AND(D222&lt;0,B222&lt;&gt;"조정"),"음수 수량(구분으로 방향 표시)",IF(NOT(ISNUMBER(K222)),"단위 확인",IF(AND(OR(B222="입고",B222="기초"),G222=""),"단가 미입력",IF(OR(A222&lt;상품·기준!$C$14,A222&gt;상품·기준!$C$15),"기간 밖",IF(AND(H222&lt;&gt;"아니오",C222&lt;&gt;"",COUNTIFS($C$7:$C$306,C222,$B$7:$B$306,B222,$F$7:$F$306,F222,$H$7:$H$306,"&lt;&gt;아니오")&gt;1),"중복 의심(같은 문서번호·구분·상태)","정상")))))))))))</f>
        <v/>
      </c>
      <c r="N222" s="15" t="str">
        <f t="shared" si="7"/>
        <v/>
      </c>
    </row>
    <row r="223" spans="1:14">
      <c r="A223" s="7"/>
      <c r="B223" s="3"/>
      <c r="C223" s="3"/>
      <c r="D223" s="3"/>
      <c r="E223" s="3"/>
      <c r="F223" s="3"/>
      <c r="G223" s="6"/>
      <c r="H223" s="3"/>
      <c r="I223" s="3"/>
      <c r="J223" s="3"/>
      <c r="K223" s="4" t="str">
        <f>IF(AND(D223="",E223=""),"",IF(E223="",1,IFERROR(INDEX(상품·기준!$C$35:$C$38,MATCH(E223,상품·기준!$A$35:$A$38,0)),"단위 확인")))</f>
        <v/>
      </c>
      <c r="L223" s="4" t="str">
        <f t="shared" si="6"/>
        <v/>
      </c>
      <c r="M223" s="4" t="str">
        <f>IF(COUNTA(A223:J223)=0,"",IF(A223="","날짜 미입력",IF(NOT(ISNUMBER(A223)),"날짜 확인(날짜 형식이 아님)",IF(B223="","구분 미입력",IF(D223="","수량 미입력",IF(NOT(ISNUMBER(D223)),"수량 확인(숫자가 아님)",IF(AND(D223&lt;0,B223&lt;&gt;"조정"),"음수 수량(구분으로 방향 표시)",IF(NOT(ISNUMBER(K223)),"단위 확인",IF(AND(OR(B223="입고",B223="기초"),G223=""),"단가 미입력",IF(OR(A223&lt;상품·기준!$C$14,A223&gt;상품·기준!$C$15),"기간 밖",IF(AND(H223&lt;&gt;"아니오",C223&lt;&gt;"",COUNTIFS($C$7:$C$306,C223,$B$7:$B$306,B223,$F$7:$F$306,F223,$H$7:$H$306,"&lt;&gt;아니오")&gt;1),"중복 의심(같은 문서번호·구분·상태)","정상")))))))))))</f>
        <v/>
      </c>
      <c r="N223" s="15" t="str">
        <f t="shared" si="7"/>
        <v/>
      </c>
    </row>
    <row r="224" spans="1:14">
      <c r="A224" s="7"/>
      <c r="B224" s="3"/>
      <c r="C224" s="3"/>
      <c r="D224" s="3"/>
      <c r="E224" s="3"/>
      <c r="F224" s="3"/>
      <c r="G224" s="6"/>
      <c r="H224" s="3"/>
      <c r="I224" s="3"/>
      <c r="J224" s="3"/>
      <c r="K224" s="4" t="str">
        <f>IF(AND(D224="",E224=""),"",IF(E224="",1,IFERROR(INDEX(상품·기준!$C$35:$C$38,MATCH(E224,상품·기준!$A$35:$A$38,0)),"단위 확인")))</f>
        <v/>
      </c>
      <c r="L224" s="4" t="str">
        <f t="shared" si="6"/>
        <v/>
      </c>
      <c r="M224" s="4" t="str">
        <f>IF(COUNTA(A224:J224)=0,"",IF(A224="","날짜 미입력",IF(NOT(ISNUMBER(A224)),"날짜 확인(날짜 형식이 아님)",IF(B224="","구분 미입력",IF(D224="","수량 미입력",IF(NOT(ISNUMBER(D224)),"수량 확인(숫자가 아님)",IF(AND(D224&lt;0,B224&lt;&gt;"조정"),"음수 수량(구분으로 방향 표시)",IF(NOT(ISNUMBER(K224)),"단위 확인",IF(AND(OR(B224="입고",B224="기초"),G224=""),"단가 미입력",IF(OR(A224&lt;상품·기준!$C$14,A224&gt;상품·기준!$C$15),"기간 밖",IF(AND(H224&lt;&gt;"아니오",C224&lt;&gt;"",COUNTIFS($C$7:$C$306,C224,$B$7:$B$306,B224,$F$7:$F$306,F224,$H$7:$H$306,"&lt;&gt;아니오")&gt;1),"중복 의심(같은 문서번호·구분·상태)","정상")))))))))))</f>
        <v/>
      </c>
      <c r="N224" s="15" t="str">
        <f t="shared" si="7"/>
        <v/>
      </c>
    </row>
    <row r="225" spans="1:14">
      <c r="A225" s="7"/>
      <c r="B225" s="3"/>
      <c r="C225" s="3"/>
      <c r="D225" s="3"/>
      <c r="E225" s="3"/>
      <c r="F225" s="3"/>
      <c r="G225" s="6"/>
      <c r="H225" s="3"/>
      <c r="I225" s="3"/>
      <c r="J225" s="3"/>
      <c r="K225" s="4" t="str">
        <f>IF(AND(D225="",E225=""),"",IF(E225="",1,IFERROR(INDEX(상품·기준!$C$35:$C$38,MATCH(E225,상품·기준!$A$35:$A$38,0)),"단위 확인")))</f>
        <v/>
      </c>
      <c r="L225" s="4" t="str">
        <f t="shared" si="6"/>
        <v/>
      </c>
      <c r="M225" s="4" t="str">
        <f>IF(COUNTA(A225:J225)=0,"",IF(A225="","날짜 미입력",IF(NOT(ISNUMBER(A225)),"날짜 확인(날짜 형식이 아님)",IF(B225="","구분 미입력",IF(D225="","수량 미입력",IF(NOT(ISNUMBER(D225)),"수량 확인(숫자가 아님)",IF(AND(D225&lt;0,B225&lt;&gt;"조정"),"음수 수량(구분으로 방향 표시)",IF(NOT(ISNUMBER(K225)),"단위 확인",IF(AND(OR(B225="입고",B225="기초"),G225=""),"단가 미입력",IF(OR(A225&lt;상품·기준!$C$14,A225&gt;상품·기준!$C$15),"기간 밖",IF(AND(H225&lt;&gt;"아니오",C225&lt;&gt;"",COUNTIFS($C$7:$C$306,C225,$B$7:$B$306,B225,$F$7:$F$306,F225,$H$7:$H$306,"&lt;&gt;아니오")&gt;1),"중복 의심(같은 문서번호·구분·상태)","정상")))))))))))</f>
        <v/>
      </c>
      <c r="N225" s="15" t="str">
        <f t="shared" si="7"/>
        <v/>
      </c>
    </row>
    <row r="226" spans="1:14">
      <c r="A226" s="7"/>
      <c r="B226" s="3"/>
      <c r="C226" s="3"/>
      <c r="D226" s="3"/>
      <c r="E226" s="3"/>
      <c r="F226" s="3"/>
      <c r="G226" s="6"/>
      <c r="H226" s="3"/>
      <c r="I226" s="3"/>
      <c r="J226" s="3"/>
      <c r="K226" s="4" t="str">
        <f>IF(AND(D226="",E226=""),"",IF(E226="",1,IFERROR(INDEX(상품·기준!$C$35:$C$38,MATCH(E226,상품·기준!$A$35:$A$38,0)),"단위 확인")))</f>
        <v/>
      </c>
      <c r="L226" s="4" t="str">
        <f t="shared" si="6"/>
        <v/>
      </c>
      <c r="M226" s="4" t="str">
        <f>IF(COUNTA(A226:J226)=0,"",IF(A226="","날짜 미입력",IF(NOT(ISNUMBER(A226)),"날짜 확인(날짜 형식이 아님)",IF(B226="","구분 미입력",IF(D226="","수량 미입력",IF(NOT(ISNUMBER(D226)),"수량 확인(숫자가 아님)",IF(AND(D226&lt;0,B226&lt;&gt;"조정"),"음수 수량(구분으로 방향 표시)",IF(NOT(ISNUMBER(K226)),"단위 확인",IF(AND(OR(B226="입고",B226="기초"),G226=""),"단가 미입력",IF(OR(A226&lt;상품·기준!$C$14,A226&gt;상품·기준!$C$15),"기간 밖",IF(AND(H226&lt;&gt;"아니오",C226&lt;&gt;"",COUNTIFS($C$7:$C$306,C226,$B$7:$B$306,B226,$F$7:$F$306,F226,$H$7:$H$306,"&lt;&gt;아니오")&gt;1),"중복 의심(같은 문서번호·구분·상태)","정상")))))))))))</f>
        <v/>
      </c>
      <c r="N226" s="15" t="str">
        <f t="shared" si="7"/>
        <v/>
      </c>
    </row>
    <row r="227" spans="1:14">
      <c r="A227" s="7"/>
      <c r="B227" s="3"/>
      <c r="C227" s="3"/>
      <c r="D227" s="3"/>
      <c r="E227" s="3"/>
      <c r="F227" s="3"/>
      <c r="G227" s="6"/>
      <c r="H227" s="3"/>
      <c r="I227" s="3"/>
      <c r="J227" s="3"/>
      <c r="K227" s="4" t="str">
        <f>IF(AND(D227="",E227=""),"",IF(E227="",1,IFERROR(INDEX(상품·기준!$C$35:$C$38,MATCH(E227,상품·기준!$A$35:$A$38,0)),"단위 확인")))</f>
        <v/>
      </c>
      <c r="L227" s="4" t="str">
        <f t="shared" si="6"/>
        <v/>
      </c>
      <c r="M227" s="4" t="str">
        <f>IF(COUNTA(A227:J227)=0,"",IF(A227="","날짜 미입력",IF(NOT(ISNUMBER(A227)),"날짜 확인(날짜 형식이 아님)",IF(B227="","구분 미입력",IF(D227="","수량 미입력",IF(NOT(ISNUMBER(D227)),"수량 확인(숫자가 아님)",IF(AND(D227&lt;0,B227&lt;&gt;"조정"),"음수 수량(구분으로 방향 표시)",IF(NOT(ISNUMBER(K227)),"단위 확인",IF(AND(OR(B227="입고",B227="기초"),G227=""),"단가 미입력",IF(OR(A227&lt;상품·기준!$C$14,A227&gt;상품·기준!$C$15),"기간 밖",IF(AND(H227&lt;&gt;"아니오",C227&lt;&gt;"",COUNTIFS($C$7:$C$306,C227,$B$7:$B$306,B227,$F$7:$F$306,F227,$H$7:$H$306,"&lt;&gt;아니오")&gt;1),"중복 의심(같은 문서번호·구분·상태)","정상")))))))))))</f>
        <v/>
      </c>
      <c r="N227" s="15" t="str">
        <f t="shared" si="7"/>
        <v/>
      </c>
    </row>
    <row r="228" spans="1:14">
      <c r="A228" s="7"/>
      <c r="B228" s="3"/>
      <c r="C228" s="3"/>
      <c r="D228" s="3"/>
      <c r="E228" s="3"/>
      <c r="F228" s="3"/>
      <c r="G228" s="6"/>
      <c r="H228" s="3"/>
      <c r="I228" s="3"/>
      <c r="J228" s="3"/>
      <c r="K228" s="4" t="str">
        <f>IF(AND(D228="",E228=""),"",IF(E228="",1,IFERROR(INDEX(상품·기준!$C$35:$C$38,MATCH(E228,상품·기준!$A$35:$A$38,0)),"단위 확인")))</f>
        <v/>
      </c>
      <c r="L228" s="4" t="str">
        <f t="shared" si="6"/>
        <v/>
      </c>
      <c r="M228" s="4" t="str">
        <f>IF(COUNTA(A228:J228)=0,"",IF(A228="","날짜 미입력",IF(NOT(ISNUMBER(A228)),"날짜 확인(날짜 형식이 아님)",IF(B228="","구분 미입력",IF(D228="","수량 미입력",IF(NOT(ISNUMBER(D228)),"수량 확인(숫자가 아님)",IF(AND(D228&lt;0,B228&lt;&gt;"조정"),"음수 수량(구분으로 방향 표시)",IF(NOT(ISNUMBER(K228)),"단위 확인",IF(AND(OR(B228="입고",B228="기초"),G228=""),"단가 미입력",IF(OR(A228&lt;상품·기준!$C$14,A228&gt;상품·기준!$C$15),"기간 밖",IF(AND(H228&lt;&gt;"아니오",C228&lt;&gt;"",COUNTIFS($C$7:$C$306,C228,$B$7:$B$306,B228,$F$7:$F$306,F228,$H$7:$H$306,"&lt;&gt;아니오")&gt;1),"중복 의심(같은 문서번호·구분·상태)","정상")))))))))))</f>
        <v/>
      </c>
      <c r="N228" s="15" t="str">
        <f t="shared" si="7"/>
        <v/>
      </c>
    </row>
    <row r="229" spans="1:14">
      <c r="A229" s="7"/>
      <c r="B229" s="3"/>
      <c r="C229" s="3"/>
      <c r="D229" s="3"/>
      <c r="E229" s="3"/>
      <c r="F229" s="3"/>
      <c r="G229" s="6"/>
      <c r="H229" s="3"/>
      <c r="I229" s="3"/>
      <c r="J229" s="3"/>
      <c r="K229" s="4" t="str">
        <f>IF(AND(D229="",E229=""),"",IF(E229="",1,IFERROR(INDEX(상품·기준!$C$35:$C$38,MATCH(E229,상품·기준!$A$35:$A$38,0)),"단위 확인")))</f>
        <v/>
      </c>
      <c r="L229" s="4" t="str">
        <f t="shared" si="6"/>
        <v/>
      </c>
      <c r="M229" s="4" t="str">
        <f>IF(COUNTA(A229:J229)=0,"",IF(A229="","날짜 미입력",IF(NOT(ISNUMBER(A229)),"날짜 확인(날짜 형식이 아님)",IF(B229="","구분 미입력",IF(D229="","수량 미입력",IF(NOT(ISNUMBER(D229)),"수량 확인(숫자가 아님)",IF(AND(D229&lt;0,B229&lt;&gt;"조정"),"음수 수량(구분으로 방향 표시)",IF(NOT(ISNUMBER(K229)),"단위 확인",IF(AND(OR(B229="입고",B229="기초"),G229=""),"단가 미입력",IF(OR(A229&lt;상품·기준!$C$14,A229&gt;상품·기준!$C$15),"기간 밖",IF(AND(H229&lt;&gt;"아니오",C229&lt;&gt;"",COUNTIFS($C$7:$C$306,C229,$B$7:$B$306,B229,$F$7:$F$306,F229,$H$7:$H$306,"&lt;&gt;아니오")&gt;1),"중복 의심(같은 문서번호·구분·상태)","정상")))))))))))</f>
        <v/>
      </c>
      <c r="N229" s="15" t="str">
        <f t="shared" si="7"/>
        <v/>
      </c>
    </row>
    <row r="230" spans="1:14">
      <c r="A230" s="7"/>
      <c r="B230" s="3"/>
      <c r="C230" s="3"/>
      <c r="D230" s="3"/>
      <c r="E230" s="3"/>
      <c r="F230" s="3"/>
      <c r="G230" s="6"/>
      <c r="H230" s="3"/>
      <c r="I230" s="3"/>
      <c r="J230" s="3"/>
      <c r="K230" s="4" t="str">
        <f>IF(AND(D230="",E230=""),"",IF(E230="",1,IFERROR(INDEX(상품·기준!$C$35:$C$38,MATCH(E230,상품·기준!$A$35:$A$38,0)),"단위 확인")))</f>
        <v/>
      </c>
      <c r="L230" s="4" t="str">
        <f t="shared" si="6"/>
        <v/>
      </c>
      <c r="M230" s="4" t="str">
        <f>IF(COUNTA(A230:J230)=0,"",IF(A230="","날짜 미입력",IF(NOT(ISNUMBER(A230)),"날짜 확인(날짜 형식이 아님)",IF(B230="","구분 미입력",IF(D230="","수량 미입력",IF(NOT(ISNUMBER(D230)),"수량 확인(숫자가 아님)",IF(AND(D230&lt;0,B230&lt;&gt;"조정"),"음수 수량(구분으로 방향 표시)",IF(NOT(ISNUMBER(K230)),"단위 확인",IF(AND(OR(B230="입고",B230="기초"),G230=""),"단가 미입력",IF(OR(A230&lt;상품·기준!$C$14,A230&gt;상품·기준!$C$15),"기간 밖",IF(AND(H230&lt;&gt;"아니오",C230&lt;&gt;"",COUNTIFS($C$7:$C$306,C230,$B$7:$B$306,B230,$F$7:$F$306,F230,$H$7:$H$306,"&lt;&gt;아니오")&gt;1),"중복 의심(같은 문서번호·구분·상태)","정상")))))))))))</f>
        <v/>
      </c>
      <c r="N230" s="15" t="str">
        <f t="shared" si="7"/>
        <v/>
      </c>
    </row>
    <row r="231" spans="1:14">
      <c r="A231" s="7"/>
      <c r="B231" s="3"/>
      <c r="C231" s="3"/>
      <c r="D231" s="3"/>
      <c r="E231" s="3"/>
      <c r="F231" s="3"/>
      <c r="G231" s="6"/>
      <c r="H231" s="3"/>
      <c r="I231" s="3"/>
      <c r="J231" s="3"/>
      <c r="K231" s="4" t="str">
        <f>IF(AND(D231="",E231=""),"",IF(E231="",1,IFERROR(INDEX(상품·기준!$C$35:$C$38,MATCH(E231,상품·기준!$A$35:$A$38,0)),"단위 확인")))</f>
        <v/>
      </c>
      <c r="L231" s="4" t="str">
        <f t="shared" si="6"/>
        <v/>
      </c>
      <c r="M231" s="4" t="str">
        <f>IF(COUNTA(A231:J231)=0,"",IF(A231="","날짜 미입력",IF(NOT(ISNUMBER(A231)),"날짜 확인(날짜 형식이 아님)",IF(B231="","구분 미입력",IF(D231="","수량 미입력",IF(NOT(ISNUMBER(D231)),"수량 확인(숫자가 아님)",IF(AND(D231&lt;0,B231&lt;&gt;"조정"),"음수 수량(구분으로 방향 표시)",IF(NOT(ISNUMBER(K231)),"단위 확인",IF(AND(OR(B231="입고",B231="기초"),G231=""),"단가 미입력",IF(OR(A231&lt;상품·기준!$C$14,A231&gt;상품·기준!$C$15),"기간 밖",IF(AND(H231&lt;&gt;"아니오",C231&lt;&gt;"",COUNTIFS($C$7:$C$306,C231,$B$7:$B$306,B231,$F$7:$F$306,F231,$H$7:$H$306,"&lt;&gt;아니오")&gt;1),"중복 의심(같은 문서번호·구분·상태)","정상")))))))))))</f>
        <v/>
      </c>
      <c r="N231" s="15" t="str">
        <f t="shared" si="7"/>
        <v/>
      </c>
    </row>
    <row r="232" spans="1:14">
      <c r="A232" s="7"/>
      <c r="B232" s="3"/>
      <c r="C232" s="3"/>
      <c r="D232" s="3"/>
      <c r="E232" s="3"/>
      <c r="F232" s="3"/>
      <c r="G232" s="6"/>
      <c r="H232" s="3"/>
      <c r="I232" s="3"/>
      <c r="J232" s="3"/>
      <c r="K232" s="4" t="str">
        <f>IF(AND(D232="",E232=""),"",IF(E232="",1,IFERROR(INDEX(상품·기준!$C$35:$C$38,MATCH(E232,상품·기준!$A$35:$A$38,0)),"단위 확인")))</f>
        <v/>
      </c>
      <c r="L232" s="4" t="str">
        <f t="shared" si="6"/>
        <v/>
      </c>
      <c r="M232" s="4" t="str">
        <f>IF(COUNTA(A232:J232)=0,"",IF(A232="","날짜 미입력",IF(NOT(ISNUMBER(A232)),"날짜 확인(날짜 형식이 아님)",IF(B232="","구분 미입력",IF(D232="","수량 미입력",IF(NOT(ISNUMBER(D232)),"수량 확인(숫자가 아님)",IF(AND(D232&lt;0,B232&lt;&gt;"조정"),"음수 수량(구분으로 방향 표시)",IF(NOT(ISNUMBER(K232)),"단위 확인",IF(AND(OR(B232="입고",B232="기초"),G232=""),"단가 미입력",IF(OR(A232&lt;상품·기준!$C$14,A232&gt;상품·기준!$C$15),"기간 밖",IF(AND(H232&lt;&gt;"아니오",C232&lt;&gt;"",COUNTIFS($C$7:$C$306,C232,$B$7:$B$306,B232,$F$7:$F$306,F232,$H$7:$H$306,"&lt;&gt;아니오")&gt;1),"중복 의심(같은 문서번호·구분·상태)","정상")))))))))))</f>
        <v/>
      </c>
      <c r="N232" s="15" t="str">
        <f t="shared" si="7"/>
        <v/>
      </c>
    </row>
    <row r="233" spans="1:14">
      <c r="A233" s="7"/>
      <c r="B233" s="3"/>
      <c r="C233" s="3"/>
      <c r="D233" s="3"/>
      <c r="E233" s="3"/>
      <c r="F233" s="3"/>
      <c r="G233" s="6"/>
      <c r="H233" s="3"/>
      <c r="I233" s="3"/>
      <c r="J233" s="3"/>
      <c r="K233" s="4" t="str">
        <f>IF(AND(D233="",E233=""),"",IF(E233="",1,IFERROR(INDEX(상품·기준!$C$35:$C$38,MATCH(E233,상품·기준!$A$35:$A$38,0)),"단위 확인")))</f>
        <v/>
      </c>
      <c r="L233" s="4" t="str">
        <f t="shared" si="6"/>
        <v/>
      </c>
      <c r="M233" s="4" t="str">
        <f>IF(COUNTA(A233:J233)=0,"",IF(A233="","날짜 미입력",IF(NOT(ISNUMBER(A233)),"날짜 확인(날짜 형식이 아님)",IF(B233="","구분 미입력",IF(D233="","수량 미입력",IF(NOT(ISNUMBER(D233)),"수량 확인(숫자가 아님)",IF(AND(D233&lt;0,B233&lt;&gt;"조정"),"음수 수량(구분으로 방향 표시)",IF(NOT(ISNUMBER(K233)),"단위 확인",IF(AND(OR(B233="입고",B233="기초"),G233=""),"단가 미입력",IF(OR(A233&lt;상품·기준!$C$14,A233&gt;상품·기준!$C$15),"기간 밖",IF(AND(H233&lt;&gt;"아니오",C233&lt;&gt;"",COUNTIFS($C$7:$C$306,C233,$B$7:$B$306,B233,$F$7:$F$306,F233,$H$7:$H$306,"&lt;&gt;아니오")&gt;1),"중복 의심(같은 문서번호·구분·상태)","정상")))))))))))</f>
        <v/>
      </c>
      <c r="N233" s="15" t="str">
        <f t="shared" si="7"/>
        <v/>
      </c>
    </row>
    <row r="234" spans="1:14">
      <c r="A234" s="7"/>
      <c r="B234" s="3"/>
      <c r="C234" s="3"/>
      <c r="D234" s="3"/>
      <c r="E234" s="3"/>
      <c r="F234" s="3"/>
      <c r="G234" s="6"/>
      <c r="H234" s="3"/>
      <c r="I234" s="3"/>
      <c r="J234" s="3"/>
      <c r="K234" s="4" t="str">
        <f>IF(AND(D234="",E234=""),"",IF(E234="",1,IFERROR(INDEX(상품·기준!$C$35:$C$38,MATCH(E234,상품·기준!$A$35:$A$38,0)),"단위 확인")))</f>
        <v/>
      </c>
      <c r="L234" s="4" t="str">
        <f t="shared" si="6"/>
        <v/>
      </c>
      <c r="M234" s="4" t="str">
        <f>IF(COUNTA(A234:J234)=0,"",IF(A234="","날짜 미입력",IF(NOT(ISNUMBER(A234)),"날짜 확인(날짜 형식이 아님)",IF(B234="","구분 미입력",IF(D234="","수량 미입력",IF(NOT(ISNUMBER(D234)),"수량 확인(숫자가 아님)",IF(AND(D234&lt;0,B234&lt;&gt;"조정"),"음수 수량(구분으로 방향 표시)",IF(NOT(ISNUMBER(K234)),"단위 확인",IF(AND(OR(B234="입고",B234="기초"),G234=""),"단가 미입력",IF(OR(A234&lt;상품·기준!$C$14,A234&gt;상품·기준!$C$15),"기간 밖",IF(AND(H234&lt;&gt;"아니오",C234&lt;&gt;"",COUNTIFS($C$7:$C$306,C234,$B$7:$B$306,B234,$F$7:$F$306,F234,$H$7:$H$306,"&lt;&gt;아니오")&gt;1),"중복 의심(같은 문서번호·구분·상태)","정상")))))))))))</f>
        <v/>
      </c>
      <c r="N234" s="15" t="str">
        <f t="shared" si="7"/>
        <v/>
      </c>
    </row>
    <row r="235" spans="1:14">
      <c r="A235" s="7"/>
      <c r="B235" s="3"/>
      <c r="C235" s="3"/>
      <c r="D235" s="3"/>
      <c r="E235" s="3"/>
      <c r="F235" s="3"/>
      <c r="G235" s="6"/>
      <c r="H235" s="3"/>
      <c r="I235" s="3"/>
      <c r="J235" s="3"/>
      <c r="K235" s="4" t="str">
        <f>IF(AND(D235="",E235=""),"",IF(E235="",1,IFERROR(INDEX(상품·기준!$C$35:$C$38,MATCH(E235,상품·기준!$A$35:$A$38,0)),"단위 확인")))</f>
        <v/>
      </c>
      <c r="L235" s="4" t="str">
        <f t="shared" si="6"/>
        <v/>
      </c>
      <c r="M235" s="4" t="str">
        <f>IF(COUNTA(A235:J235)=0,"",IF(A235="","날짜 미입력",IF(NOT(ISNUMBER(A235)),"날짜 확인(날짜 형식이 아님)",IF(B235="","구분 미입력",IF(D235="","수량 미입력",IF(NOT(ISNUMBER(D235)),"수량 확인(숫자가 아님)",IF(AND(D235&lt;0,B235&lt;&gt;"조정"),"음수 수량(구분으로 방향 표시)",IF(NOT(ISNUMBER(K235)),"단위 확인",IF(AND(OR(B235="입고",B235="기초"),G235=""),"단가 미입력",IF(OR(A235&lt;상품·기준!$C$14,A235&gt;상품·기준!$C$15),"기간 밖",IF(AND(H235&lt;&gt;"아니오",C235&lt;&gt;"",COUNTIFS($C$7:$C$306,C235,$B$7:$B$306,B235,$F$7:$F$306,F235,$H$7:$H$306,"&lt;&gt;아니오")&gt;1),"중복 의심(같은 문서번호·구분·상태)","정상")))))))))))</f>
        <v/>
      </c>
      <c r="N235" s="15" t="str">
        <f t="shared" si="7"/>
        <v/>
      </c>
    </row>
    <row r="236" spans="1:14">
      <c r="A236" s="7"/>
      <c r="B236" s="3"/>
      <c r="C236" s="3"/>
      <c r="D236" s="3"/>
      <c r="E236" s="3"/>
      <c r="F236" s="3"/>
      <c r="G236" s="6"/>
      <c r="H236" s="3"/>
      <c r="I236" s="3"/>
      <c r="J236" s="3"/>
      <c r="K236" s="4" t="str">
        <f>IF(AND(D236="",E236=""),"",IF(E236="",1,IFERROR(INDEX(상품·기준!$C$35:$C$38,MATCH(E236,상품·기준!$A$35:$A$38,0)),"단위 확인")))</f>
        <v/>
      </c>
      <c r="L236" s="4" t="str">
        <f t="shared" si="6"/>
        <v/>
      </c>
      <c r="M236" s="4" t="str">
        <f>IF(COUNTA(A236:J236)=0,"",IF(A236="","날짜 미입력",IF(NOT(ISNUMBER(A236)),"날짜 확인(날짜 형식이 아님)",IF(B236="","구분 미입력",IF(D236="","수량 미입력",IF(NOT(ISNUMBER(D236)),"수량 확인(숫자가 아님)",IF(AND(D236&lt;0,B236&lt;&gt;"조정"),"음수 수량(구분으로 방향 표시)",IF(NOT(ISNUMBER(K236)),"단위 확인",IF(AND(OR(B236="입고",B236="기초"),G236=""),"단가 미입력",IF(OR(A236&lt;상품·기준!$C$14,A236&gt;상품·기준!$C$15),"기간 밖",IF(AND(H236&lt;&gt;"아니오",C236&lt;&gt;"",COUNTIFS($C$7:$C$306,C236,$B$7:$B$306,B236,$F$7:$F$306,F236,$H$7:$H$306,"&lt;&gt;아니오")&gt;1),"중복 의심(같은 문서번호·구분·상태)","정상")))))))))))</f>
        <v/>
      </c>
      <c r="N236" s="15" t="str">
        <f t="shared" si="7"/>
        <v/>
      </c>
    </row>
    <row r="237" spans="1:14">
      <c r="A237" s="7"/>
      <c r="B237" s="3"/>
      <c r="C237" s="3"/>
      <c r="D237" s="3"/>
      <c r="E237" s="3"/>
      <c r="F237" s="3"/>
      <c r="G237" s="6"/>
      <c r="H237" s="3"/>
      <c r="I237" s="3"/>
      <c r="J237" s="3"/>
      <c r="K237" s="4" t="str">
        <f>IF(AND(D237="",E237=""),"",IF(E237="",1,IFERROR(INDEX(상품·기준!$C$35:$C$38,MATCH(E237,상품·기준!$A$35:$A$38,0)),"단위 확인")))</f>
        <v/>
      </c>
      <c r="L237" s="4" t="str">
        <f t="shared" si="6"/>
        <v/>
      </c>
      <c r="M237" s="4" t="str">
        <f>IF(COUNTA(A237:J237)=0,"",IF(A237="","날짜 미입력",IF(NOT(ISNUMBER(A237)),"날짜 확인(날짜 형식이 아님)",IF(B237="","구분 미입력",IF(D237="","수량 미입력",IF(NOT(ISNUMBER(D237)),"수량 확인(숫자가 아님)",IF(AND(D237&lt;0,B237&lt;&gt;"조정"),"음수 수량(구분으로 방향 표시)",IF(NOT(ISNUMBER(K237)),"단위 확인",IF(AND(OR(B237="입고",B237="기초"),G237=""),"단가 미입력",IF(OR(A237&lt;상품·기준!$C$14,A237&gt;상품·기준!$C$15),"기간 밖",IF(AND(H237&lt;&gt;"아니오",C237&lt;&gt;"",COUNTIFS($C$7:$C$306,C237,$B$7:$B$306,B237,$F$7:$F$306,F237,$H$7:$H$306,"&lt;&gt;아니오")&gt;1),"중복 의심(같은 문서번호·구분·상태)","정상")))))))))))</f>
        <v/>
      </c>
      <c r="N237" s="15" t="str">
        <f t="shared" si="7"/>
        <v/>
      </c>
    </row>
    <row r="238" spans="1:14">
      <c r="A238" s="7"/>
      <c r="B238" s="3"/>
      <c r="C238" s="3"/>
      <c r="D238" s="3"/>
      <c r="E238" s="3"/>
      <c r="F238" s="3"/>
      <c r="G238" s="6"/>
      <c r="H238" s="3"/>
      <c r="I238" s="3"/>
      <c r="J238" s="3"/>
      <c r="K238" s="4" t="str">
        <f>IF(AND(D238="",E238=""),"",IF(E238="",1,IFERROR(INDEX(상품·기준!$C$35:$C$38,MATCH(E238,상품·기준!$A$35:$A$38,0)),"단위 확인")))</f>
        <v/>
      </c>
      <c r="L238" s="4" t="str">
        <f t="shared" si="6"/>
        <v/>
      </c>
      <c r="M238" s="4" t="str">
        <f>IF(COUNTA(A238:J238)=0,"",IF(A238="","날짜 미입력",IF(NOT(ISNUMBER(A238)),"날짜 확인(날짜 형식이 아님)",IF(B238="","구분 미입력",IF(D238="","수량 미입력",IF(NOT(ISNUMBER(D238)),"수량 확인(숫자가 아님)",IF(AND(D238&lt;0,B238&lt;&gt;"조정"),"음수 수량(구분으로 방향 표시)",IF(NOT(ISNUMBER(K238)),"단위 확인",IF(AND(OR(B238="입고",B238="기초"),G238=""),"단가 미입력",IF(OR(A238&lt;상품·기준!$C$14,A238&gt;상품·기준!$C$15),"기간 밖",IF(AND(H238&lt;&gt;"아니오",C238&lt;&gt;"",COUNTIFS($C$7:$C$306,C238,$B$7:$B$306,B238,$F$7:$F$306,F238,$H$7:$H$306,"&lt;&gt;아니오")&gt;1),"중복 의심(같은 문서번호·구분·상태)","정상")))))))))))</f>
        <v/>
      </c>
      <c r="N238" s="15" t="str">
        <f t="shared" si="7"/>
        <v/>
      </c>
    </row>
    <row r="239" spans="1:14">
      <c r="A239" s="7"/>
      <c r="B239" s="3"/>
      <c r="C239" s="3"/>
      <c r="D239" s="3"/>
      <c r="E239" s="3"/>
      <c r="F239" s="3"/>
      <c r="G239" s="6"/>
      <c r="H239" s="3"/>
      <c r="I239" s="3"/>
      <c r="J239" s="3"/>
      <c r="K239" s="4" t="str">
        <f>IF(AND(D239="",E239=""),"",IF(E239="",1,IFERROR(INDEX(상품·기준!$C$35:$C$38,MATCH(E239,상품·기준!$A$35:$A$38,0)),"단위 확인")))</f>
        <v/>
      </c>
      <c r="L239" s="4" t="str">
        <f t="shared" si="6"/>
        <v/>
      </c>
      <c r="M239" s="4" t="str">
        <f>IF(COUNTA(A239:J239)=0,"",IF(A239="","날짜 미입력",IF(NOT(ISNUMBER(A239)),"날짜 확인(날짜 형식이 아님)",IF(B239="","구분 미입력",IF(D239="","수량 미입력",IF(NOT(ISNUMBER(D239)),"수량 확인(숫자가 아님)",IF(AND(D239&lt;0,B239&lt;&gt;"조정"),"음수 수량(구분으로 방향 표시)",IF(NOT(ISNUMBER(K239)),"단위 확인",IF(AND(OR(B239="입고",B239="기초"),G239=""),"단가 미입력",IF(OR(A239&lt;상품·기준!$C$14,A239&gt;상품·기준!$C$15),"기간 밖",IF(AND(H239&lt;&gt;"아니오",C239&lt;&gt;"",COUNTIFS($C$7:$C$306,C239,$B$7:$B$306,B239,$F$7:$F$306,F239,$H$7:$H$306,"&lt;&gt;아니오")&gt;1),"중복 의심(같은 문서번호·구분·상태)","정상")))))))))))</f>
        <v/>
      </c>
      <c r="N239" s="15" t="str">
        <f t="shared" si="7"/>
        <v/>
      </c>
    </row>
    <row r="240" spans="1:14">
      <c r="A240" s="7"/>
      <c r="B240" s="3"/>
      <c r="C240" s="3"/>
      <c r="D240" s="3"/>
      <c r="E240" s="3"/>
      <c r="F240" s="3"/>
      <c r="G240" s="6"/>
      <c r="H240" s="3"/>
      <c r="I240" s="3"/>
      <c r="J240" s="3"/>
      <c r="K240" s="4" t="str">
        <f>IF(AND(D240="",E240=""),"",IF(E240="",1,IFERROR(INDEX(상품·기준!$C$35:$C$38,MATCH(E240,상품·기준!$A$35:$A$38,0)),"단위 확인")))</f>
        <v/>
      </c>
      <c r="L240" s="4" t="str">
        <f t="shared" si="6"/>
        <v/>
      </c>
      <c r="M240" s="4" t="str">
        <f>IF(COUNTA(A240:J240)=0,"",IF(A240="","날짜 미입력",IF(NOT(ISNUMBER(A240)),"날짜 확인(날짜 형식이 아님)",IF(B240="","구분 미입력",IF(D240="","수량 미입력",IF(NOT(ISNUMBER(D240)),"수량 확인(숫자가 아님)",IF(AND(D240&lt;0,B240&lt;&gt;"조정"),"음수 수량(구분으로 방향 표시)",IF(NOT(ISNUMBER(K240)),"단위 확인",IF(AND(OR(B240="입고",B240="기초"),G240=""),"단가 미입력",IF(OR(A240&lt;상품·기준!$C$14,A240&gt;상품·기준!$C$15),"기간 밖",IF(AND(H240&lt;&gt;"아니오",C240&lt;&gt;"",COUNTIFS($C$7:$C$306,C240,$B$7:$B$306,B240,$F$7:$F$306,F240,$H$7:$H$306,"&lt;&gt;아니오")&gt;1),"중복 의심(같은 문서번호·구분·상태)","정상")))))))))))</f>
        <v/>
      </c>
      <c r="N240" s="15" t="str">
        <f t="shared" si="7"/>
        <v/>
      </c>
    </row>
    <row r="241" spans="1:14">
      <c r="A241" s="7"/>
      <c r="B241" s="3"/>
      <c r="C241" s="3"/>
      <c r="D241" s="3"/>
      <c r="E241" s="3"/>
      <c r="F241" s="3"/>
      <c r="G241" s="6"/>
      <c r="H241" s="3"/>
      <c r="I241" s="3"/>
      <c r="J241" s="3"/>
      <c r="K241" s="4" t="str">
        <f>IF(AND(D241="",E241=""),"",IF(E241="",1,IFERROR(INDEX(상품·기준!$C$35:$C$38,MATCH(E241,상품·기준!$A$35:$A$38,0)),"단위 확인")))</f>
        <v/>
      </c>
      <c r="L241" s="4" t="str">
        <f t="shared" si="6"/>
        <v/>
      </c>
      <c r="M241" s="4" t="str">
        <f>IF(COUNTA(A241:J241)=0,"",IF(A241="","날짜 미입력",IF(NOT(ISNUMBER(A241)),"날짜 확인(날짜 형식이 아님)",IF(B241="","구분 미입력",IF(D241="","수량 미입력",IF(NOT(ISNUMBER(D241)),"수량 확인(숫자가 아님)",IF(AND(D241&lt;0,B241&lt;&gt;"조정"),"음수 수량(구분으로 방향 표시)",IF(NOT(ISNUMBER(K241)),"단위 확인",IF(AND(OR(B241="입고",B241="기초"),G241=""),"단가 미입력",IF(OR(A241&lt;상품·기준!$C$14,A241&gt;상품·기준!$C$15),"기간 밖",IF(AND(H241&lt;&gt;"아니오",C241&lt;&gt;"",COUNTIFS($C$7:$C$306,C241,$B$7:$B$306,B241,$F$7:$F$306,F241,$H$7:$H$306,"&lt;&gt;아니오")&gt;1),"중복 의심(같은 문서번호·구분·상태)","정상")))))))))))</f>
        <v/>
      </c>
      <c r="N241" s="15" t="str">
        <f t="shared" si="7"/>
        <v/>
      </c>
    </row>
    <row r="242" spans="1:14">
      <c r="A242" s="7"/>
      <c r="B242" s="3"/>
      <c r="C242" s="3"/>
      <c r="D242" s="3"/>
      <c r="E242" s="3"/>
      <c r="F242" s="3"/>
      <c r="G242" s="6"/>
      <c r="H242" s="3"/>
      <c r="I242" s="3"/>
      <c r="J242" s="3"/>
      <c r="K242" s="4" t="str">
        <f>IF(AND(D242="",E242=""),"",IF(E242="",1,IFERROR(INDEX(상품·기준!$C$35:$C$38,MATCH(E242,상품·기준!$A$35:$A$38,0)),"단위 확인")))</f>
        <v/>
      </c>
      <c r="L242" s="4" t="str">
        <f t="shared" si="6"/>
        <v/>
      </c>
      <c r="M242" s="4" t="str">
        <f>IF(COUNTA(A242:J242)=0,"",IF(A242="","날짜 미입력",IF(NOT(ISNUMBER(A242)),"날짜 확인(날짜 형식이 아님)",IF(B242="","구분 미입력",IF(D242="","수량 미입력",IF(NOT(ISNUMBER(D242)),"수량 확인(숫자가 아님)",IF(AND(D242&lt;0,B242&lt;&gt;"조정"),"음수 수량(구분으로 방향 표시)",IF(NOT(ISNUMBER(K242)),"단위 확인",IF(AND(OR(B242="입고",B242="기초"),G242=""),"단가 미입력",IF(OR(A242&lt;상품·기준!$C$14,A242&gt;상품·기준!$C$15),"기간 밖",IF(AND(H242&lt;&gt;"아니오",C242&lt;&gt;"",COUNTIFS($C$7:$C$306,C242,$B$7:$B$306,B242,$F$7:$F$306,F242,$H$7:$H$306,"&lt;&gt;아니오")&gt;1),"중복 의심(같은 문서번호·구분·상태)","정상")))))))))))</f>
        <v/>
      </c>
      <c r="N242" s="15" t="str">
        <f t="shared" si="7"/>
        <v/>
      </c>
    </row>
    <row r="243" spans="1:14">
      <c r="A243" s="7"/>
      <c r="B243" s="3"/>
      <c r="C243" s="3"/>
      <c r="D243" s="3"/>
      <c r="E243" s="3"/>
      <c r="F243" s="3"/>
      <c r="G243" s="6"/>
      <c r="H243" s="3"/>
      <c r="I243" s="3"/>
      <c r="J243" s="3"/>
      <c r="K243" s="4" t="str">
        <f>IF(AND(D243="",E243=""),"",IF(E243="",1,IFERROR(INDEX(상품·기준!$C$35:$C$38,MATCH(E243,상품·기준!$A$35:$A$38,0)),"단위 확인")))</f>
        <v/>
      </c>
      <c r="L243" s="4" t="str">
        <f t="shared" si="6"/>
        <v/>
      </c>
      <c r="M243" s="4" t="str">
        <f>IF(COUNTA(A243:J243)=0,"",IF(A243="","날짜 미입력",IF(NOT(ISNUMBER(A243)),"날짜 확인(날짜 형식이 아님)",IF(B243="","구분 미입력",IF(D243="","수량 미입력",IF(NOT(ISNUMBER(D243)),"수량 확인(숫자가 아님)",IF(AND(D243&lt;0,B243&lt;&gt;"조정"),"음수 수량(구분으로 방향 표시)",IF(NOT(ISNUMBER(K243)),"단위 확인",IF(AND(OR(B243="입고",B243="기초"),G243=""),"단가 미입력",IF(OR(A243&lt;상품·기준!$C$14,A243&gt;상품·기준!$C$15),"기간 밖",IF(AND(H243&lt;&gt;"아니오",C243&lt;&gt;"",COUNTIFS($C$7:$C$306,C243,$B$7:$B$306,B243,$F$7:$F$306,F243,$H$7:$H$306,"&lt;&gt;아니오")&gt;1),"중복 의심(같은 문서번호·구분·상태)","정상")))))))))))</f>
        <v/>
      </c>
      <c r="N243" s="15" t="str">
        <f t="shared" si="7"/>
        <v/>
      </c>
    </row>
    <row r="244" spans="1:14">
      <c r="A244" s="7"/>
      <c r="B244" s="3"/>
      <c r="C244" s="3"/>
      <c r="D244" s="3"/>
      <c r="E244" s="3"/>
      <c r="F244" s="3"/>
      <c r="G244" s="6"/>
      <c r="H244" s="3"/>
      <c r="I244" s="3"/>
      <c r="J244" s="3"/>
      <c r="K244" s="4" t="str">
        <f>IF(AND(D244="",E244=""),"",IF(E244="",1,IFERROR(INDEX(상품·기준!$C$35:$C$38,MATCH(E244,상품·기준!$A$35:$A$38,0)),"단위 확인")))</f>
        <v/>
      </c>
      <c r="L244" s="4" t="str">
        <f t="shared" si="6"/>
        <v/>
      </c>
      <c r="M244" s="4" t="str">
        <f>IF(COUNTA(A244:J244)=0,"",IF(A244="","날짜 미입력",IF(NOT(ISNUMBER(A244)),"날짜 확인(날짜 형식이 아님)",IF(B244="","구분 미입력",IF(D244="","수량 미입력",IF(NOT(ISNUMBER(D244)),"수량 확인(숫자가 아님)",IF(AND(D244&lt;0,B244&lt;&gt;"조정"),"음수 수량(구분으로 방향 표시)",IF(NOT(ISNUMBER(K244)),"단위 확인",IF(AND(OR(B244="입고",B244="기초"),G244=""),"단가 미입력",IF(OR(A244&lt;상품·기준!$C$14,A244&gt;상품·기준!$C$15),"기간 밖",IF(AND(H244&lt;&gt;"아니오",C244&lt;&gt;"",COUNTIFS($C$7:$C$306,C244,$B$7:$B$306,B244,$F$7:$F$306,F244,$H$7:$H$306,"&lt;&gt;아니오")&gt;1),"중복 의심(같은 문서번호·구분·상태)","정상")))))))))))</f>
        <v/>
      </c>
      <c r="N244" s="15" t="str">
        <f t="shared" si="7"/>
        <v/>
      </c>
    </row>
    <row r="245" spans="1:14">
      <c r="A245" s="7"/>
      <c r="B245" s="3"/>
      <c r="C245" s="3"/>
      <c r="D245" s="3"/>
      <c r="E245" s="3"/>
      <c r="F245" s="3"/>
      <c r="G245" s="6"/>
      <c r="H245" s="3"/>
      <c r="I245" s="3"/>
      <c r="J245" s="3"/>
      <c r="K245" s="4" t="str">
        <f>IF(AND(D245="",E245=""),"",IF(E245="",1,IFERROR(INDEX(상품·기준!$C$35:$C$38,MATCH(E245,상품·기준!$A$35:$A$38,0)),"단위 확인")))</f>
        <v/>
      </c>
      <c r="L245" s="4" t="str">
        <f t="shared" si="6"/>
        <v/>
      </c>
      <c r="M245" s="4" t="str">
        <f>IF(COUNTA(A245:J245)=0,"",IF(A245="","날짜 미입력",IF(NOT(ISNUMBER(A245)),"날짜 확인(날짜 형식이 아님)",IF(B245="","구분 미입력",IF(D245="","수량 미입력",IF(NOT(ISNUMBER(D245)),"수량 확인(숫자가 아님)",IF(AND(D245&lt;0,B245&lt;&gt;"조정"),"음수 수량(구분으로 방향 표시)",IF(NOT(ISNUMBER(K245)),"단위 확인",IF(AND(OR(B245="입고",B245="기초"),G245=""),"단가 미입력",IF(OR(A245&lt;상품·기준!$C$14,A245&gt;상품·기준!$C$15),"기간 밖",IF(AND(H245&lt;&gt;"아니오",C245&lt;&gt;"",COUNTIFS($C$7:$C$306,C245,$B$7:$B$306,B245,$F$7:$F$306,F245,$H$7:$H$306,"&lt;&gt;아니오")&gt;1),"중복 의심(같은 문서번호·구분·상태)","정상")))))))))))</f>
        <v/>
      </c>
      <c r="N245" s="15" t="str">
        <f t="shared" si="7"/>
        <v/>
      </c>
    </row>
    <row r="246" spans="1:14">
      <c r="A246" s="7"/>
      <c r="B246" s="3"/>
      <c r="C246" s="3"/>
      <c r="D246" s="3"/>
      <c r="E246" s="3"/>
      <c r="F246" s="3"/>
      <c r="G246" s="6"/>
      <c r="H246" s="3"/>
      <c r="I246" s="3"/>
      <c r="J246" s="3"/>
      <c r="K246" s="4" t="str">
        <f>IF(AND(D246="",E246=""),"",IF(E246="",1,IFERROR(INDEX(상품·기준!$C$35:$C$38,MATCH(E246,상품·기준!$A$35:$A$38,0)),"단위 확인")))</f>
        <v/>
      </c>
      <c r="L246" s="4" t="str">
        <f t="shared" si="6"/>
        <v/>
      </c>
      <c r="M246" s="4" t="str">
        <f>IF(COUNTA(A246:J246)=0,"",IF(A246="","날짜 미입력",IF(NOT(ISNUMBER(A246)),"날짜 확인(날짜 형식이 아님)",IF(B246="","구분 미입력",IF(D246="","수량 미입력",IF(NOT(ISNUMBER(D246)),"수량 확인(숫자가 아님)",IF(AND(D246&lt;0,B246&lt;&gt;"조정"),"음수 수량(구분으로 방향 표시)",IF(NOT(ISNUMBER(K246)),"단위 확인",IF(AND(OR(B246="입고",B246="기초"),G246=""),"단가 미입력",IF(OR(A246&lt;상품·기준!$C$14,A246&gt;상품·기준!$C$15),"기간 밖",IF(AND(H246&lt;&gt;"아니오",C246&lt;&gt;"",COUNTIFS($C$7:$C$306,C246,$B$7:$B$306,B246,$F$7:$F$306,F246,$H$7:$H$306,"&lt;&gt;아니오")&gt;1),"중복 의심(같은 문서번호·구분·상태)","정상")))))))))))</f>
        <v/>
      </c>
      <c r="N246" s="15" t="str">
        <f t="shared" si="7"/>
        <v/>
      </c>
    </row>
    <row r="247" spans="1:14">
      <c r="A247" s="7"/>
      <c r="B247" s="3"/>
      <c r="C247" s="3"/>
      <c r="D247" s="3"/>
      <c r="E247" s="3"/>
      <c r="F247" s="3"/>
      <c r="G247" s="6"/>
      <c r="H247" s="3"/>
      <c r="I247" s="3"/>
      <c r="J247" s="3"/>
      <c r="K247" s="4" t="str">
        <f>IF(AND(D247="",E247=""),"",IF(E247="",1,IFERROR(INDEX(상품·기준!$C$35:$C$38,MATCH(E247,상품·기준!$A$35:$A$38,0)),"단위 확인")))</f>
        <v/>
      </c>
      <c r="L247" s="4" t="str">
        <f t="shared" si="6"/>
        <v/>
      </c>
      <c r="M247" s="4" t="str">
        <f>IF(COUNTA(A247:J247)=0,"",IF(A247="","날짜 미입력",IF(NOT(ISNUMBER(A247)),"날짜 확인(날짜 형식이 아님)",IF(B247="","구분 미입력",IF(D247="","수량 미입력",IF(NOT(ISNUMBER(D247)),"수량 확인(숫자가 아님)",IF(AND(D247&lt;0,B247&lt;&gt;"조정"),"음수 수량(구분으로 방향 표시)",IF(NOT(ISNUMBER(K247)),"단위 확인",IF(AND(OR(B247="입고",B247="기초"),G247=""),"단가 미입력",IF(OR(A247&lt;상품·기준!$C$14,A247&gt;상품·기준!$C$15),"기간 밖",IF(AND(H247&lt;&gt;"아니오",C247&lt;&gt;"",COUNTIFS($C$7:$C$306,C247,$B$7:$B$306,B247,$F$7:$F$306,F247,$H$7:$H$306,"&lt;&gt;아니오")&gt;1),"중복 의심(같은 문서번호·구분·상태)","정상")))))))))))</f>
        <v/>
      </c>
      <c r="N247" s="15" t="str">
        <f t="shared" si="7"/>
        <v/>
      </c>
    </row>
    <row r="248" spans="1:14">
      <c r="A248" s="7"/>
      <c r="B248" s="3"/>
      <c r="C248" s="3"/>
      <c r="D248" s="3"/>
      <c r="E248" s="3"/>
      <c r="F248" s="3"/>
      <c r="G248" s="6"/>
      <c r="H248" s="3"/>
      <c r="I248" s="3"/>
      <c r="J248" s="3"/>
      <c r="K248" s="4" t="str">
        <f>IF(AND(D248="",E248=""),"",IF(E248="",1,IFERROR(INDEX(상품·기준!$C$35:$C$38,MATCH(E248,상품·기준!$A$35:$A$38,0)),"단위 확인")))</f>
        <v/>
      </c>
      <c r="L248" s="4" t="str">
        <f t="shared" si="6"/>
        <v/>
      </c>
      <c r="M248" s="4" t="str">
        <f>IF(COUNTA(A248:J248)=0,"",IF(A248="","날짜 미입력",IF(NOT(ISNUMBER(A248)),"날짜 확인(날짜 형식이 아님)",IF(B248="","구분 미입력",IF(D248="","수량 미입력",IF(NOT(ISNUMBER(D248)),"수량 확인(숫자가 아님)",IF(AND(D248&lt;0,B248&lt;&gt;"조정"),"음수 수량(구분으로 방향 표시)",IF(NOT(ISNUMBER(K248)),"단위 확인",IF(AND(OR(B248="입고",B248="기초"),G248=""),"단가 미입력",IF(OR(A248&lt;상품·기준!$C$14,A248&gt;상품·기준!$C$15),"기간 밖",IF(AND(H248&lt;&gt;"아니오",C248&lt;&gt;"",COUNTIFS($C$7:$C$306,C248,$B$7:$B$306,B248,$F$7:$F$306,F248,$H$7:$H$306,"&lt;&gt;아니오")&gt;1),"중복 의심(같은 문서번호·구분·상태)","정상")))))))))))</f>
        <v/>
      </c>
      <c r="N248" s="15" t="str">
        <f t="shared" si="7"/>
        <v/>
      </c>
    </row>
    <row r="249" spans="1:14">
      <c r="A249" s="7"/>
      <c r="B249" s="3"/>
      <c r="C249" s="3"/>
      <c r="D249" s="3"/>
      <c r="E249" s="3"/>
      <c r="F249" s="3"/>
      <c r="G249" s="6"/>
      <c r="H249" s="3"/>
      <c r="I249" s="3"/>
      <c r="J249" s="3"/>
      <c r="K249" s="4" t="str">
        <f>IF(AND(D249="",E249=""),"",IF(E249="",1,IFERROR(INDEX(상품·기준!$C$35:$C$38,MATCH(E249,상품·기준!$A$35:$A$38,0)),"단위 확인")))</f>
        <v/>
      </c>
      <c r="L249" s="4" t="str">
        <f t="shared" si="6"/>
        <v/>
      </c>
      <c r="M249" s="4" t="str">
        <f>IF(COUNTA(A249:J249)=0,"",IF(A249="","날짜 미입력",IF(NOT(ISNUMBER(A249)),"날짜 확인(날짜 형식이 아님)",IF(B249="","구분 미입력",IF(D249="","수량 미입력",IF(NOT(ISNUMBER(D249)),"수량 확인(숫자가 아님)",IF(AND(D249&lt;0,B249&lt;&gt;"조정"),"음수 수량(구분으로 방향 표시)",IF(NOT(ISNUMBER(K249)),"단위 확인",IF(AND(OR(B249="입고",B249="기초"),G249=""),"단가 미입력",IF(OR(A249&lt;상품·기준!$C$14,A249&gt;상품·기준!$C$15),"기간 밖",IF(AND(H249&lt;&gt;"아니오",C249&lt;&gt;"",COUNTIFS($C$7:$C$306,C249,$B$7:$B$306,B249,$F$7:$F$306,F249,$H$7:$H$306,"&lt;&gt;아니오")&gt;1),"중복 의심(같은 문서번호·구분·상태)","정상")))))))))))</f>
        <v/>
      </c>
      <c r="N249" s="15" t="str">
        <f t="shared" si="7"/>
        <v/>
      </c>
    </row>
    <row r="250" spans="1:14">
      <c r="A250" s="7"/>
      <c r="B250" s="3"/>
      <c r="C250" s="3"/>
      <c r="D250" s="3"/>
      <c r="E250" s="3"/>
      <c r="F250" s="3"/>
      <c r="G250" s="6"/>
      <c r="H250" s="3"/>
      <c r="I250" s="3"/>
      <c r="J250" s="3"/>
      <c r="K250" s="4" t="str">
        <f>IF(AND(D250="",E250=""),"",IF(E250="",1,IFERROR(INDEX(상품·기준!$C$35:$C$38,MATCH(E250,상품·기준!$A$35:$A$38,0)),"단위 확인")))</f>
        <v/>
      </c>
      <c r="L250" s="4" t="str">
        <f t="shared" si="6"/>
        <v/>
      </c>
      <c r="M250" s="4" t="str">
        <f>IF(COUNTA(A250:J250)=0,"",IF(A250="","날짜 미입력",IF(NOT(ISNUMBER(A250)),"날짜 확인(날짜 형식이 아님)",IF(B250="","구분 미입력",IF(D250="","수량 미입력",IF(NOT(ISNUMBER(D250)),"수량 확인(숫자가 아님)",IF(AND(D250&lt;0,B250&lt;&gt;"조정"),"음수 수량(구분으로 방향 표시)",IF(NOT(ISNUMBER(K250)),"단위 확인",IF(AND(OR(B250="입고",B250="기초"),G250=""),"단가 미입력",IF(OR(A250&lt;상품·기준!$C$14,A250&gt;상품·기준!$C$15),"기간 밖",IF(AND(H250&lt;&gt;"아니오",C250&lt;&gt;"",COUNTIFS($C$7:$C$306,C250,$B$7:$B$306,B250,$F$7:$F$306,F250,$H$7:$H$306,"&lt;&gt;아니오")&gt;1),"중복 의심(같은 문서번호·구분·상태)","정상")))))))))))</f>
        <v/>
      </c>
      <c r="N250" s="15" t="str">
        <f t="shared" si="7"/>
        <v/>
      </c>
    </row>
    <row r="251" spans="1:14">
      <c r="A251" s="7"/>
      <c r="B251" s="3"/>
      <c r="C251" s="3"/>
      <c r="D251" s="3"/>
      <c r="E251" s="3"/>
      <c r="F251" s="3"/>
      <c r="G251" s="6"/>
      <c r="H251" s="3"/>
      <c r="I251" s="3"/>
      <c r="J251" s="3"/>
      <c r="K251" s="4" t="str">
        <f>IF(AND(D251="",E251=""),"",IF(E251="",1,IFERROR(INDEX(상품·기준!$C$35:$C$38,MATCH(E251,상품·기준!$A$35:$A$38,0)),"단위 확인")))</f>
        <v/>
      </c>
      <c r="L251" s="4" t="str">
        <f t="shared" si="6"/>
        <v/>
      </c>
      <c r="M251" s="4" t="str">
        <f>IF(COUNTA(A251:J251)=0,"",IF(A251="","날짜 미입력",IF(NOT(ISNUMBER(A251)),"날짜 확인(날짜 형식이 아님)",IF(B251="","구분 미입력",IF(D251="","수량 미입력",IF(NOT(ISNUMBER(D251)),"수량 확인(숫자가 아님)",IF(AND(D251&lt;0,B251&lt;&gt;"조정"),"음수 수량(구분으로 방향 표시)",IF(NOT(ISNUMBER(K251)),"단위 확인",IF(AND(OR(B251="입고",B251="기초"),G251=""),"단가 미입력",IF(OR(A251&lt;상품·기준!$C$14,A251&gt;상품·기준!$C$15),"기간 밖",IF(AND(H251&lt;&gt;"아니오",C251&lt;&gt;"",COUNTIFS($C$7:$C$306,C251,$B$7:$B$306,B251,$F$7:$F$306,F251,$H$7:$H$306,"&lt;&gt;아니오")&gt;1),"중복 의심(같은 문서번호·구분·상태)","정상")))))))))))</f>
        <v/>
      </c>
      <c r="N251" s="15" t="str">
        <f t="shared" si="7"/>
        <v/>
      </c>
    </row>
    <row r="252" spans="1:14">
      <c r="A252" s="7"/>
      <c r="B252" s="3"/>
      <c r="C252" s="3"/>
      <c r="D252" s="3"/>
      <c r="E252" s="3"/>
      <c r="F252" s="3"/>
      <c r="G252" s="6"/>
      <c r="H252" s="3"/>
      <c r="I252" s="3"/>
      <c r="J252" s="3"/>
      <c r="K252" s="4" t="str">
        <f>IF(AND(D252="",E252=""),"",IF(E252="",1,IFERROR(INDEX(상품·기준!$C$35:$C$38,MATCH(E252,상품·기준!$A$35:$A$38,0)),"단위 확인")))</f>
        <v/>
      </c>
      <c r="L252" s="4" t="str">
        <f t="shared" si="6"/>
        <v/>
      </c>
      <c r="M252" s="4" t="str">
        <f>IF(COUNTA(A252:J252)=0,"",IF(A252="","날짜 미입력",IF(NOT(ISNUMBER(A252)),"날짜 확인(날짜 형식이 아님)",IF(B252="","구분 미입력",IF(D252="","수량 미입력",IF(NOT(ISNUMBER(D252)),"수량 확인(숫자가 아님)",IF(AND(D252&lt;0,B252&lt;&gt;"조정"),"음수 수량(구분으로 방향 표시)",IF(NOT(ISNUMBER(K252)),"단위 확인",IF(AND(OR(B252="입고",B252="기초"),G252=""),"단가 미입력",IF(OR(A252&lt;상품·기준!$C$14,A252&gt;상품·기준!$C$15),"기간 밖",IF(AND(H252&lt;&gt;"아니오",C252&lt;&gt;"",COUNTIFS($C$7:$C$306,C252,$B$7:$B$306,B252,$F$7:$F$306,F252,$H$7:$H$306,"&lt;&gt;아니오")&gt;1),"중복 의심(같은 문서번호·구분·상태)","정상")))))))))))</f>
        <v/>
      </c>
      <c r="N252" s="15" t="str">
        <f t="shared" si="7"/>
        <v/>
      </c>
    </row>
    <row r="253" spans="1:14">
      <c r="A253" s="7"/>
      <c r="B253" s="3"/>
      <c r="C253" s="3"/>
      <c r="D253" s="3"/>
      <c r="E253" s="3"/>
      <c r="F253" s="3"/>
      <c r="G253" s="6"/>
      <c r="H253" s="3"/>
      <c r="I253" s="3"/>
      <c r="J253" s="3"/>
      <c r="K253" s="4" t="str">
        <f>IF(AND(D253="",E253=""),"",IF(E253="",1,IFERROR(INDEX(상품·기준!$C$35:$C$38,MATCH(E253,상품·기준!$A$35:$A$38,0)),"단위 확인")))</f>
        <v/>
      </c>
      <c r="L253" s="4" t="str">
        <f t="shared" si="6"/>
        <v/>
      </c>
      <c r="M253" s="4" t="str">
        <f>IF(COUNTA(A253:J253)=0,"",IF(A253="","날짜 미입력",IF(NOT(ISNUMBER(A253)),"날짜 확인(날짜 형식이 아님)",IF(B253="","구분 미입력",IF(D253="","수량 미입력",IF(NOT(ISNUMBER(D253)),"수량 확인(숫자가 아님)",IF(AND(D253&lt;0,B253&lt;&gt;"조정"),"음수 수량(구분으로 방향 표시)",IF(NOT(ISNUMBER(K253)),"단위 확인",IF(AND(OR(B253="입고",B253="기초"),G253=""),"단가 미입력",IF(OR(A253&lt;상품·기준!$C$14,A253&gt;상품·기준!$C$15),"기간 밖",IF(AND(H253&lt;&gt;"아니오",C253&lt;&gt;"",COUNTIFS($C$7:$C$306,C253,$B$7:$B$306,B253,$F$7:$F$306,F253,$H$7:$H$306,"&lt;&gt;아니오")&gt;1),"중복 의심(같은 문서번호·구분·상태)","정상")))))))))))</f>
        <v/>
      </c>
      <c r="N253" s="15" t="str">
        <f t="shared" si="7"/>
        <v/>
      </c>
    </row>
    <row r="254" spans="1:14">
      <c r="A254" s="7"/>
      <c r="B254" s="3"/>
      <c r="C254" s="3"/>
      <c r="D254" s="3"/>
      <c r="E254" s="3"/>
      <c r="F254" s="3"/>
      <c r="G254" s="6"/>
      <c r="H254" s="3"/>
      <c r="I254" s="3"/>
      <c r="J254" s="3"/>
      <c r="K254" s="4" t="str">
        <f>IF(AND(D254="",E254=""),"",IF(E254="",1,IFERROR(INDEX(상품·기준!$C$35:$C$38,MATCH(E254,상품·기준!$A$35:$A$38,0)),"단위 확인")))</f>
        <v/>
      </c>
      <c r="L254" s="4" t="str">
        <f t="shared" si="6"/>
        <v/>
      </c>
      <c r="M254" s="4" t="str">
        <f>IF(COUNTA(A254:J254)=0,"",IF(A254="","날짜 미입력",IF(NOT(ISNUMBER(A254)),"날짜 확인(날짜 형식이 아님)",IF(B254="","구분 미입력",IF(D254="","수량 미입력",IF(NOT(ISNUMBER(D254)),"수량 확인(숫자가 아님)",IF(AND(D254&lt;0,B254&lt;&gt;"조정"),"음수 수량(구분으로 방향 표시)",IF(NOT(ISNUMBER(K254)),"단위 확인",IF(AND(OR(B254="입고",B254="기초"),G254=""),"단가 미입력",IF(OR(A254&lt;상품·기준!$C$14,A254&gt;상품·기준!$C$15),"기간 밖",IF(AND(H254&lt;&gt;"아니오",C254&lt;&gt;"",COUNTIFS($C$7:$C$306,C254,$B$7:$B$306,B254,$F$7:$F$306,F254,$H$7:$H$306,"&lt;&gt;아니오")&gt;1),"중복 의심(같은 문서번호·구분·상태)","정상")))))))))))</f>
        <v/>
      </c>
      <c r="N254" s="15" t="str">
        <f t="shared" si="7"/>
        <v/>
      </c>
    </row>
    <row r="255" spans="1:14">
      <c r="A255" s="7"/>
      <c r="B255" s="3"/>
      <c r="C255" s="3"/>
      <c r="D255" s="3"/>
      <c r="E255" s="3"/>
      <c r="F255" s="3"/>
      <c r="G255" s="6"/>
      <c r="H255" s="3"/>
      <c r="I255" s="3"/>
      <c r="J255" s="3"/>
      <c r="K255" s="4" t="str">
        <f>IF(AND(D255="",E255=""),"",IF(E255="",1,IFERROR(INDEX(상품·기준!$C$35:$C$38,MATCH(E255,상품·기준!$A$35:$A$38,0)),"단위 확인")))</f>
        <v/>
      </c>
      <c r="L255" s="4" t="str">
        <f t="shared" si="6"/>
        <v/>
      </c>
      <c r="M255" s="4" t="str">
        <f>IF(COUNTA(A255:J255)=0,"",IF(A255="","날짜 미입력",IF(NOT(ISNUMBER(A255)),"날짜 확인(날짜 형식이 아님)",IF(B255="","구분 미입력",IF(D255="","수량 미입력",IF(NOT(ISNUMBER(D255)),"수량 확인(숫자가 아님)",IF(AND(D255&lt;0,B255&lt;&gt;"조정"),"음수 수량(구분으로 방향 표시)",IF(NOT(ISNUMBER(K255)),"단위 확인",IF(AND(OR(B255="입고",B255="기초"),G255=""),"단가 미입력",IF(OR(A255&lt;상품·기준!$C$14,A255&gt;상품·기준!$C$15),"기간 밖",IF(AND(H255&lt;&gt;"아니오",C255&lt;&gt;"",COUNTIFS($C$7:$C$306,C255,$B$7:$B$306,B255,$F$7:$F$306,F255,$H$7:$H$306,"&lt;&gt;아니오")&gt;1),"중복 의심(같은 문서번호·구분·상태)","정상")))))))))))</f>
        <v/>
      </c>
      <c r="N255" s="15" t="str">
        <f t="shared" si="7"/>
        <v/>
      </c>
    </row>
    <row r="256" spans="1:14">
      <c r="A256" s="7"/>
      <c r="B256" s="3"/>
      <c r="C256" s="3"/>
      <c r="D256" s="3"/>
      <c r="E256" s="3"/>
      <c r="F256" s="3"/>
      <c r="G256" s="6"/>
      <c r="H256" s="3"/>
      <c r="I256" s="3"/>
      <c r="J256" s="3"/>
      <c r="K256" s="4" t="str">
        <f>IF(AND(D256="",E256=""),"",IF(E256="",1,IFERROR(INDEX(상품·기준!$C$35:$C$38,MATCH(E256,상품·기준!$A$35:$A$38,0)),"단위 확인")))</f>
        <v/>
      </c>
      <c r="L256" s="4" t="str">
        <f t="shared" si="6"/>
        <v/>
      </c>
      <c r="M256" s="4" t="str">
        <f>IF(COUNTA(A256:J256)=0,"",IF(A256="","날짜 미입력",IF(NOT(ISNUMBER(A256)),"날짜 확인(날짜 형식이 아님)",IF(B256="","구분 미입력",IF(D256="","수량 미입력",IF(NOT(ISNUMBER(D256)),"수량 확인(숫자가 아님)",IF(AND(D256&lt;0,B256&lt;&gt;"조정"),"음수 수량(구분으로 방향 표시)",IF(NOT(ISNUMBER(K256)),"단위 확인",IF(AND(OR(B256="입고",B256="기초"),G256=""),"단가 미입력",IF(OR(A256&lt;상품·기준!$C$14,A256&gt;상품·기준!$C$15),"기간 밖",IF(AND(H256&lt;&gt;"아니오",C256&lt;&gt;"",COUNTIFS($C$7:$C$306,C256,$B$7:$B$306,B256,$F$7:$F$306,F256,$H$7:$H$306,"&lt;&gt;아니오")&gt;1),"중복 의심(같은 문서번호·구분·상태)","정상")))))))))))</f>
        <v/>
      </c>
      <c r="N256" s="15" t="str">
        <f t="shared" si="7"/>
        <v/>
      </c>
    </row>
    <row r="257" spans="1:14">
      <c r="A257" s="7"/>
      <c r="B257" s="3"/>
      <c r="C257" s="3"/>
      <c r="D257" s="3"/>
      <c r="E257" s="3"/>
      <c r="F257" s="3"/>
      <c r="G257" s="6"/>
      <c r="H257" s="3"/>
      <c r="I257" s="3"/>
      <c r="J257" s="3"/>
      <c r="K257" s="4" t="str">
        <f>IF(AND(D257="",E257=""),"",IF(E257="",1,IFERROR(INDEX(상품·기준!$C$35:$C$38,MATCH(E257,상품·기준!$A$35:$A$38,0)),"단위 확인")))</f>
        <v/>
      </c>
      <c r="L257" s="4" t="str">
        <f t="shared" si="6"/>
        <v/>
      </c>
      <c r="M257" s="4" t="str">
        <f>IF(COUNTA(A257:J257)=0,"",IF(A257="","날짜 미입력",IF(NOT(ISNUMBER(A257)),"날짜 확인(날짜 형식이 아님)",IF(B257="","구분 미입력",IF(D257="","수량 미입력",IF(NOT(ISNUMBER(D257)),"수량 확인(숫자가 아님)",IF(AND(D257&lt;0,B257&lt;&gt;"조정"),"음수 수량(구분으로 방향 표시)",IF(NOT(ISNUMBER(K257)),"단위 확인",IF(AND(OR(B257="입고",B257="기초"),G257=""),"단가 미입력",IF(OR(A257&lt;상품·기준!$C$14,A257&gt;상품·기준!$C$15),"기간 밖",IF(AND(H257&lt;&gt;"아니오",C257&lt;&gt;"",COUNTIFS($C$7:$C$306,C257,$B$7:$B$306,B257,$F$7:$F$306,F257,$H$7:$H$306,"&lt;&gt;아니오")&gt;1),"중복 의심(같은 문서번호·구분·상태)","정상")))))))))))</f>
        <v/>
      </c>
      <c r="N257" s="15" t="str">
        <f t="shared" si="7"/>
        <v/>
      </c>
    </row>
    <row r="258" spans="1:14">
      <c r="A258" s="7"/>
      <c r="B258" s="3"/>
      <c r="C258" s="3"/>
      <c r="D258" s="3"/>
      <c r="E258" s="3"/>
      <c r="F258" s="3"/>
      <c r="G258" s="6"/>
      <c r="H258" s="3"/>
      <c r="I258" s="3"/>
      <c r="J258" s="3"/>
      <c r="K258" s="4" t="str">
        <f>IF(AND(D258="",E258=""),"",IF(E258="",1,IFERROR(INDEX(상품·기준!$C$35:$C$38,MATCH(E258,상품·기준!$A$35:$A$38,0)),"단위 확인")))</f>
        <v/>
      </c>
      <c r="L258" s="4" t="str">
        <f t="shared" si="6"/>
        <v/>
      </c>
      <c r="M258" s="4" t="str">
        <f>IF(COUNTA(A258:J258)=0,"",IF(A258="","날짜 미입력",IF(NOT(ISNUMBER(A258)),"날짜 확인(날짜 형식이 아님)",IF(B258="","구분 미입력",IF(D258="","수량 미입력",IF(NOT(ISNUMBER(D258)),"수량 확인(숫자가 아님)",IF(AND(D258&lt;0,B258&lt;&gt;"조정"),"음수 수량(구분으로 방향 표시)",IF(NOT(ISNUMBER(K258)),"단위 확인",IF(AND(OR(B258="입고",B258="기초"),G258=""),"단가 미입력",IF(OR(A258&lt;상품·기준!$C$14,A258&gt;상품·기준!$C$15),"기간 밖",IF(AND(H258&lt;&gt;"아니오",C258&lt;&gt;"",COUNTIFS($C$7:$C$306,C258,$B$7:$B$306,B258,$F$7:$F$306,F258,$H$7:$H$306,"&lt;&gt;아니오")&gt;1),"중복 의심(같은 문서번호·구분·상태)","정상")))))))))))</f>
        <v/>
      </c>
      <c r="N258" s="15" t="str">
        <f t="shared" si="7"/>
        <v/>
      </c>
    </row>
    <row r="259" spans="1:14">
      <c r="A259" s="7"/>
      <c r="B259" s="3"/>
      <c r="C259" s="3"/>
      <c r="D259" s="3"/>
      <c r="E259" s="3"/>
      <c r="F259" s="3"/>
      <c r="G259" s="6"/>
      <c r="H259" s="3"/>
      <c r="I259" s="3"/>
      <c r="J259" s="3"/>
      <c r="K259" s="4" t="str">
        <f>IF(AND(D259="",E259=""),"",IF(E259="",1,IFERROR(INDEX(상품·기준!$C$35:$C$38,MATCH(E259,상품·기준!$A$35:$A$38,0)),"단위 확인")))</f>
        <v/>
      </c>
      <c r="L259" s="4" t="str">
        <f t="shared" si="6"/>
        <v/>
      </c>
      <c r="M259" s="4" t="str">
        <f>IF(COUNTA(A259:J259)=0,"",IF(A259="","날짜 미입력",IF(NOT(ISNUMBER(A259)),"날짜 확인(날짜 형식이 아님)",IF(B259="","구분 미입력",IF(D259="","수량 미입력",IF(NOT(ISNUMBER(D259)),"수량 확인(숫자가 아님)",IF(AND(D259&lt;0,B259&lt;&gt;"조정"),"음수 수량(구분으로 방향 표시)",IF(NOT(ISNUMBER(K259)),"단위 확인",IF(AND(OR(B259="입고",B259="기초"),G259=""),"단가 미입력",IF(OR(A259&lt;상품·기준!$C$14,A259&gt;상품·기준!$C$15),"기간 밖",IF(AND(H259&lt;&gt;"아니오",C259&lt;&gt;"",COUNTIFS($C$7:$C$306,C259,$B$7:$B$306,B259,$F$7:$F$306,F259,$H$7:$H$306,"&lt;&gt;아니오")&gt;1),"중복 의심(같은 문서번호·구분·상태)","정상")))))))))))</f>
        <v/>
      </c>
      <c r="N259" s="15" t="str">
        <f t="shared" si="7"/>
        <v/>
      </c>
    </row>
    <row r="260" spans="1:14">
      <c r="A260" s="7"/>
      <c r="B260" s="3"/>
      <c r="C260" s="3"/>
      <c r="D260" s="3"/>
      <c r="E260" s="3"/>
      <c r="F260" s="3"/>
      <c r="G260" s="6"/>
      <c r="H260" s="3"/>
      <c r="I260" s="3"/>
      <c r="J260" s="3"/>
      <c r="K260" s="4" t="str">
        <f>IF(AND(D260="",E260=""),"",IF(E260="",1,IFERROR(INDEX(상품·기준!$C$35:$C$38,MATCH(E260,상품·기준!$A$35:$A$38,0)),"단위 확인")))</f>
        <v/>
      </c>
      <c r="L260" s="4" t="str">
        <f t="shared" si="6"/>
        <v/>
      </c>
      <c r="M260" s="4" t="str">
        <f>IF(COUNTA(A260:J260)=0,"",IF(A260="","날짜 미입력",IF(NOT(ISNUMBER(A260)),"날짜 확인(날짜 형식이 아님)",IF(B260="","구분 미입력",IF(D260="","수량 미입력",IF(NOT(ISNUMBER(D260)),"수량 확인(숫자가 아님)",IF(AND(D260&lt;0,B260&lt;&gt;"조정"),"음수 수량(구분으로 방향 표시)",IF(NOT(ISNUMBER(K260)),"단위 확인",IF(AND(OR(B260="입고",B260="기초"),G260=""),"단가 미입력",IF(OR(A260&lt;상품·기준!$C$14,A260&gt;상품·기준!$C$15),"기간 밖",IF(AND(H260&lt;&gt;"아니오",C260&lt;&gt;"",COUNTIFS($C$7:$C$306,C260,$B$7:$B$306,B260,$F$7:$F$306,F260,$H$7:$H$306,"&lt;&gt;아니오")&gt;1),"중복 의심(같은 문서번호·구분·상태)","정상")))))))))))</f>
        <v/>
      </c>
      <c r="N260" s="15" t="str">
        <f t="shared" si="7"/>
        <v/>
      </c>
    </row>
    <row r="261" spans="1:14">
      <c r="A261" s="7"/>
      <c r="B261" s="3"/>
      <c r="C261" s="3"/>
      <c r="D261" s="3"/>
      <c r="E261" s="3"/>
      <c r="F261" s="3"/>
      <c r="G261" s="6"/>
      <c r="H261" s="3"/>
      <c r="I261" s="3"/>
      <c r="J261" s="3"/>
      <c r="K261" s="4" t="str">
        <f>IF(AND(D261="",E261=""),"",IF(E261="",1,IFERROR(INDEX(상품·기준!$C$35:$C$38,MATCH(E261,상품·기준!$A$35:$A$38,0)),"단위 확인")))</f>
        <v/>
      </c>
      <c r="L261" s="4" t="str">
        <f t="shared" si="6"/>
        <v/>
      </c>
      <c r="M261" s="4" t="str">
        <f>IF(COUNTA(A261:J261)=0,"",IF(A261="","날짜 미입력",IF(NOT(ISNUMBER(A261)),"날짜 확인(날짜 형식이 아님)",IF(B261="","구분 미입력",IF(D261="","수량 미입력",IF(NOT(ISNUMBER(D261)),"수량 확인(숫자가 아님)",IF(AND(D261&lt;0,B261&lt;&gt;"조정"),"음수 수량(구분으로 방향 표시)",IF(NOT(ISNUMBER(K261)),"단위 확인",IF(AND(OR(B261="입고",B261="기초"),G261=""),"단가 미입력",IF(OR(A261&lt;상품·기준!$C$14,A261&gt;상품·기준!$C$15),"기간 밖",IF(AND(H261&lt;&gt;"아니오",C261&lt;&gt;"",COUNTIFS($C$7:$C$306,C261,$B$7:$B$306,B261,$F$7:$F$306,F261,$H$7:$H$306,"&lt;&gt;아니오")&gt;1),"중복 의심(같은 문서번호·구분·상태)","정상")))))))))))</f>
        <v/>
      </c>
      <c r="N261" s="15" t="str">
        <f t="shared" si="7"/>
        <v/>
      </c>
    </row>
    <row r="262" spans="1:14">
      <c r="A262" s="7"/>
      <c r="B262" s="3"/>
      <c r="C262" s="3"/>
      <c r="D262" s="3"/>
      <c r="E262" s="3"/>
      <c r="F262" s="3"/>
      <c r="G262" s="6"/>
      <c r="H262" s="3"/>
      <c r="I262" s="3"/>
      <c r="J262" s="3"/>
      <c r="K262" s="4" t="str">
        <f>IF(AND(D262="",E262=""),"",IF(E262="",1,IFERROR(INDEX(상품·기준!$C$35:$C$38,MATCH(E262,상품·기준!$A$35:$A$38,0)),"단위 확인")))</f>
        <v/>
      </c>
      <c r="L262" s="4" t="str">
        <f t="shared" si="6"/>
        <v/>
      </c>
      <c r="M262" s="4" t="str">
        <f>IF(COUNTA(A262:J262)=0,"",IF(A262="","날짜 미입력",IF(NOT(ISNUMBER(A262)),"날짜 확인(날짜 형식이 아님)",IF(B262="","구분 미입력",IF(D262="","수량 미입력",IF(NOT(ISNUMBER(D262)),"수량 확인(숫자가 아님)",IF(AND(D262&lt;0,B262&lt;&gt;"조정"),"음수 수량(구분으로 방향 표시)",IF(NOT(ISNUMBER(K262)),"단위 확인",IF(AND(OR(B262="입고",B262="기초"),G262=""),"단가 미입력",IF(OR(A262&lt;상품·기준!$C$14,A262&gt;상품·기준!$C$15),"기간 밖",IF(AND(H262&lt;&gt;"아니오",C262&lt;&gt;"",COUNTIFS($C$7:$C$306,C262,$B$7:$B$306,B262,$F$7:$F$306,F262,$H$7:$H$306,"&lt;&gt;아니오")&gt;1),"중복 의심(같은 문서번호·구분·상태)","정상")))))))))))</f>
        <v/>
      </c>
      <c r="N262" s="15" t="str">
        <f t="shared" si="7"/>
        <v/>
      </c>
    </row>
    <row r="263" spans="1:14">
      <c r="A263" s="7"/>
      <c r="B263" s="3"/>
      <c r="C263" s="3"/>
      <c r="D263" s="3"/>
      <c r="E263" s="3"/>
      <c r="F263" s="3"/>
      <c r="G263" s="6"/>
      <c r="H263" s="3"/>
      <c r="I263" s="3"/>
      <c r="J263" s="3"/>
      <c r="K263" s="4" t="str">
        <f>IF(AND(D263="",E263=""),"",IF(E263="",1,IFERROR(INDEX(상품·기준!$C$35:$C$38,MATCH(E263,상품·기준!$A$35:$A$38,0)),"단위 확인")))</f>
        <v/>
      </c>
      <c r="L263" s="4" t="str">
        <f t="shared" ref="L263:L326" si="8">IF(AND(ISNUMBER(D263),ISNUMBER(K263)),D263*K263,"")</f>
        <v/>
      </c>
      <c r="M263" s="4" t="str">
        <f>IF(COUNTA(A263:J263)=0,"",IF(A263="","날짜 미입력",IF(NOT(ISNUMBER(A263)),"날짜 확인(날짜 형식이 아님)",IF(B263="","구분 미입력",IF(D263="","수량 미입력",IF(NOT(ISNUMBER(D263)),"수량 확인(숫자가 아님)",IF(AND(D263&lt;0,B263&lt;&gt;"조정"),"음수 수량(구분으로 방향 표시)",IF(NOT(ISNUMBER(K263)),"단위 확인",IF(AND(OR(B263="입고",B263="기초"),G263=""),"단가 미입력",IF(OR(A263&lt;상품·기준!$C$14,A263&gt;상품·기준!$C$15),"기간 밖",IF(AND(H263&lt;&gt;"아니오",C263&lt;&gt;"",COUNTIFS($C$7:$C$306,C263,$B$7:$B$306,B263,$F$7:$F$306,F263,$H$7:$H$306,"&lt;&gt;아니오")&gt;1),"중복 의심(같은 문서번호·구분·상태)","정상")))))))))))</f>
        <v/>
      </c>
      <c r="N263" s="15" t="str">
        <f t="shared" ref="N263:N326" si="9">IF(M263="","",IF(M263="정상",0,1))</f>
        <v/>
      </c>
    </row>
    <row r="264" spans="1:14">
      <c r="A264" s="7"/>
      <c r="B264" s="3"/>
      <c r="C264" s="3"/>
      <c r="D264" s="3"/>
      <c r="E264" s="3"/>
      <c r="F264" s="3"/>
      <c r="G264" s="6"/>
      <c r="H264" s="3"/>
      <c r="I264" s="3"/>
      <c r="J264" s="3"/>
      <c r="K264" s="4" t="str">
        <f>IF(AND(D264="",E264=""),"",IF(E264="",1,IFERROR(INDEX(상품·기준!$C$35:$C$38,MATCH(E264,상품·기준!$A$35:$A$38,0)),"단위 확인")))</f>
        <v/>
      </c>
      <c r="L264" s="4" t="str">
        <f t="shared" si="8"/>
        <v/>
      </c>
      <c r="M264" s="4" t="str">
        <f>IF(COUNTA(A264:J264)=0,"",IF(A264="","날짜 미입력",IF(NOT(ISNUMBER(A264)),"날짜 확인(날짜 형식이 아님)",IF(B264="","구분 미입력",IF(D264="","수량 미입력",IF(NOT(ISNUMBER(D264)),"수량 확인(숫자가 아님)",IF(AND(D264&lt;0,B264&lt;&gt;"조정"),"음수 수량(구분으로 방향 표시)",IF(NOT(ISNUMBER(K264)),"단위 확인",IF(AND(OR(B264="입고",B264="기초"),G264=""),"단가 미입력",IF(OR(A264&lt;상품·기준!$C$14,A264&gt;상품·기준!$C$15),"기간 밖",IF(AND(H264&lt;&gt;"아니오",C264&lt;&gt;"",COUNTIFS($C$7:$C$306,C264,$B$7:$B$306,B264,$F$7:$F$306,F264,$H$7:$H$306,"&lt;&gt;아니오")&gt;1),"중복 의심(같은 문서번호·구분·상태)","정상")))))))))))</f>
        <v/>
      </c>
      <c r="N264" s="15" t="str">
        <f t="shared" si="9"/>
        <v/>
      </c>
    </row>
    <row r="265" spans="1:14">
      <c r="A265" s="7"/>
      <c r="B265" s="3"/>
      <c r="C265" s="3"/>
      <c r="D265" s="3"/>
      <c r="E265" s="3"/>
      <c r="F265" s="3"/>
      <c r="G265" s="6"/>
      <c r="H265" s="3"/>
      <c r="I265" s="3"/>
      <c r="J265" s="3"/>
      <c r="K265" s="4" t="str">
        <f>IF(AND(D265="",E265=""),"",IF(E265="",1,IFERROR(INDEX(상품·기준!$C$35:$C$38,MATCH(E265,상품·기준!$A$35:$A$38,0)),"단위 확인")))</f>
        <v/>
      </c>
      <c r="L265" s="4" t="str">
        <f t="shared" si="8"/>
        <v/>
      </c>
      <c r="M265" s="4" t="str">
        <f>IF(COUNTA(A265:J265)=0,"",IF(A265="","날짜 미입력",IF(NOT(ISNUMBER(A265)),"날짜 확인(날짜 형식이 아님)",IF(B265="","구분 미입력",IF(D265="","수량 미입력",IF(NOT(ISNUMBER(D265)),"수량 확인(숫자가 아님)",IF(AND(D265&lt;0,B265&lt;&gt;"조정"),"음수 수량(구분으로 방향 표시)",IF(NOT(ISNUMBER(K265)),"단위 확인",IF(AND(OR(B265="입고",B265="기초"),G265=""),"단가 미입력",IF(OR(A265&lt;상품·기준!$C$14,A265&gt;상품·기준!$C$15),"기간 밖",IF(AND(H265&lt;&gt;"아니오",C265&lt;&gt;"",COUNTIFS($C$7:$C$306,C265,$B$7:$B$306,B265,$F$7:$F$306,F265,$H$7:$H$306,"&lt;&gt;아니오")&gt;1),"중복 의심(같은 문서번호·구분·상태)","정상")))))))))))</f>
        <v/>
      </c>
      <c r="N265" s="15" t="str">
        <f t="shared" si="9"/>
        <v/>
      </c>
    </row>
    <row r="266" spans="1:14">
      <c r="A266" s="7"/>
      <c r="B266" s="3"/>
      <c r="C266" s="3"/>
      <c r="D266" s="3"/>
      <c r="E266" s="3"/>
      <c r="F266" s="3"/>
      <c r="G266" s="6"/>
      <c r="H266" s="3"/>
      <c r="I266" s="3"/>
      <c r="J266" s="3"/>
      <c r="K266" s="4" t="str">
        <f>IF(AND(D266="",E266=""),"",IF(E266="",1,IFERROR(INDEX(상품·기준!$C$35:$C$38,MATCH(E266,상품·기준!$A$35:$A$38,0)),"단위 확인")))</f>
        <v/>
      </c>
      <c r="L266" s="4" t="str">
        <f t="shared" si="8"/>
        <v/>
      </c>
      <c r="M266" s="4" t="str">
        <f>IF(COUNTA(A266:J266)=0,"",IF(A266="","날짜 미입력",IF(NOT(ISNUMBER(A266)),"날짜 확인(날짜 형식이 아님)",IF(B266="","구분 미입력",IF(D266="","수량 미입력",IF(NOT(ISNUMBER(D266)),"수량 확인(숫자가 아님)",IF(AND(D266&lt;0,B266&lt;&gt;"조정"),"음수 수량(구분으로 방향 표시)",IF(NOT(ISNUMBER(K266)),"단위 확인",IF(AND(OR(B266="입고",B266="기초"),G266=""),"단가 미입력",IF(OR(A266&lt;상품·기준!$C$14,A266&gt;상품·기준!$C$15),"기간 밖",IF(AND(H266&lt;&gt;"아니오",C266&lt;&gt;"",COUNTIFS($C$7:$C$306,C266,$B$7:$B$306,B266,$F$7:$F$306,F266,$H$7:$H$306,"&lt;&gt;아니오")&gt;1),"중복 의심(같은 문서번호·구분·상태)","정상")))))))))))</f>
        <v/>
      </c>
      <c r="N266" s="15" t="str">
        <f t="shared" si="9"/>
        <v/>
      </c>
    </row>
    <row r="267" spans="1:14">
      <c r="A267" s="7"/>
      <c r="B267" s="3"/>
      <c r="C267" s="3"/>
      <c r="D267" s="3"/>
      <c r="E267" s="3"/>
      <c r="F267" s="3"/>
      <c r="G267" s="6"/>
      <c r="H267" s="3"/>
      <c r="I267" s="3"/>
      <c r="J267" s="3"/>
      <c r="K267" s="4" t="str">
        <f>IF(AND(D267="",E267=""),"",IF(E267="",1,IFERROR(INDEX(상품·기준!$C$35:$C$38,MATCH(E267,상품·기준!$A$35:$A$38,0)),"단위 확인")))</f>
        <v/>
      </c>
      <c r="L267" s="4" t="str">
        <f t="shared" si="8"/>
        <v/>
      </c>
      <c r="M267" s="4" t="str">
        <f>IF(COUNTA(A267:J267)=0,"",IF(A267="","날짜 미입력",IF(NOT(ISNUMBER(A267)),"날짜 확인(날짜 형식이 아님)",IF(B267="","구분 미입력",IF(D267="","수량 미입력",IF(NOT(ISNUMBER(D267)),"수량 확인(숫자가 아님)",IF(AND(D267&lt;0,B267&lt;&gt;"조정"),"음수 수량(구분으로 방향 표시)",IF(NOT(ISNUMBER(K267)),"단위 확인",IF(AND(OR(B267="입고",B267="기초"),G267=""),"단가 미입력",IF(OR(A267&lt;상품·기준!$C$14,A267&gt;상품·기준!$C$15),"기간 밖",IF(AND(H267&lt;&gt;"아니오",C267&lt;&gt;"",COUNTIFS($C$7:$C$306,C267,$B$7:$B$306,B267,$F$7:$F$306,F267,$H$7:$H$306,"&lt;&gt;아니오")&gt;1),"중복 의심(같은 문서번호·구분·상태)","정상")))))))))))</f>
        <v/>
      </c>
      <c r="N267" s="15" t="str">
        <f t="shared" si="9"/>
        <v/>
      </c>
    </row>
    <row r="268" spans="1:14">
      <c r="A268" s="7"/>
      <c r="B268" s="3"/>
      <c r="C268" s="3"/>
      <c r="D268" s="3"/>
      <c r="E268" s="3"/>
      <c r="F268" s="3"/>
      <c r="G268" s="6"/>
      <c r="H268" s="3"/>
      <c r="I268" s="3"/>
      <c r="J268" s="3"/>
      <c r="K268" s="4" t="str">
        <f>IF(AND(D268="",E268=""),"",IF(E268="",1,IFERROR(INDEX(상품·기준!$C$35:$C$38,MATCH(E268,상품·기준!$A$35:$A$38,0)),"단위 확인")))</f>
        <v/>
      </c>
      <c r="L268" s="4" t="str">
        <f t="shared" si="8"/>
        <v/>
      </c>
      <c r="M268" s="4" t="str">
        <f>IF(COUNTA(A268:J268)=0,"",IF(A268="","날짜 미입력",IF(NOT(ISNUMBER(A268)),"날짜 확인(날짜 형식이 아님)",IF(B268="","구분 미입력",IF(D268="","수량 미입력",IF(NOT(ISNUMBER(D268)),"수량 확인(숫자가 아님)",IF(AND(D268&lt;0,B268&lt;&gt;"조정"),"음수 수량(구분으로 방향 표시)",IF(NOT(ISNUMBER(K268)),"단위 확인",IF(AND(OR(B268="입고",B268="기초"),G268=""),"단가 미입력",IF(OR(A268&lt;상품·기준!$C$14,A268&gt;상품·기준!$C$15),"기간 밖",IF(AND(H268&lt;&gt;"아니오",C268&lt;&gt;"",COUNTIFS($C$7:$C$306,C268,$B$7:$B$306,B268,$F$7:$F$306,F268,$H$7:$H$306,"&lt;&gt;아니오")&gt;1),"중복 의심(같은 문서번호·구분·상태)","정상")))))))))))</f>
        <v/>
      </c>
      <c r="N268" s="15" t="str">
        <f t="shared" si="9"/>
        <v/>
      </c>
    </row>
    <row r="269" spans="1:14">
      <c r="A269" s="7"/>
      <c r="B269" s="3"/>
      <c r="C269" s="3"/>
      <c r="D269" s="3"/>
      <c r="E269" s="3"/>
      <c r="F269" s="3"/>
      <c r="G269" s="6"/>
      <c r="H269" s="3"/>
      <c r="I269" s="3"/>
      <c r="J269" s="3"/>
      <c r="K269" s="4" t="str">
        <f>IF(AND(D269="",E269=""),"",IF(E269="",1,IFERROR(INDEX(상품·기준!$C$35:$C$38,MATCH(E269,상품·기준!$A$35:$A$38,0)),"단위 확인")))</f>
        <v/>
      </c>
      <c r="L269" s="4" t="str">
        <f t="shared" si="8"/>
        <v/>
      </c>
      <c r="M269" s="4" t="str">
        <f>IF(COUNTA(A269:J269)=0,"",IF(A269="","날짜 미입력",IF(NOT(ISNUMBER(A269)),"날짜 확인(날짜 형식이 아님)",IF(B269="","구분 미입력",IF(D269="","수량 미입력",IF(NOT(ISNUMBER(D269)),"수량 확인(숫자가 아님)",IF(AND(D269&lt;0,B269&lt;&gt;"조정"),"음수 수량(구분으로 방향 표시)",IF(NOT(ISNUMBER(K269)),"단위 확인",IF(AND(OR(B269="입고",B269="기초"),G269=""),"단가 미입력",IF(OR(A269&lt;상품·기준!$C$14,A269&gt;상품·기준!$C$15),"기간 밖",IF(AND(H269&lt;&gt;"아니오",C269&lt;&gt;"",COUNTIFS($C$7:$C$306,C269,$B$7:$B$306,B269,$F$7:$F$306,F269,$H$7:$H$306,"&lt;&gt;아니오")&gt;1),"중복 의심(같은 문서번호·구분·상태)","정상")))))))))))</f>
        <v/>
      </c>
      <c r="N269" s="15" t="str">
        <f t="shared" si="9"/>
        <v/>
      </c>
    </row>
    <row r="270" spans="1:14">
      <c r="A270" s="7"/>
      <c r="B270" s="3"/>
      <c r="C270" s="3"/>
      <c r="D270" s="3"/>
      <c r="E270" s="3"/>
      <c r="F270" s="3"/>
      <c r="G270" s="6"/>
      <c r="H270" s="3"/>
      <c r="I270" s="3"/>
      <c r="J270" s="3"/>
      <c r="K270" s="4" t="str">
        <f>IF(AND(D270="",E270=""),"",IF(E270="",1,IFERROR(INDEX(상품·기준!$C$35:$C$38,MATCH(E270,상품·기준!$A$35:$A$38,0)),"단위 확인")))</f>
        <v/>
      </c>
      <c r="L270" s="4" t="str">
        <f t="shared" si="8"/>
        <v/>
      </c>
      <c r="M270" s="4" t="str">
        <f>IF(COUNTA(A270:J270)=0,"",IF(A270="","날짜 미입력",IF(NOT(ISNUMBER(A270)),"날짜 확인(날짜 형식이 아님)",IF(B270="","구분 미입력",IF(D270="","수량 미입력",IF(NOT(ISNUMBER(D270)),"수량 확인(숫자가 아님)",IF(AND(D270&lt;0,B270&lt;&gt;"조정"),"음수 수량(구분으로 방향 표시)",IF(NOT(ISNUMBER(K270)),"단위 확인",IF(AND(OR(B270="입고",B270="기초"),G270=""),"단가 미입력",IF(OR(A270&lt;상품·기준!$C$14,A270&gt;상품·기준!$C$15),"기간 밖",IF(AND(H270&lt;&gt;"아니오",C270&lt;&gt;"",COUNTIFS($C$7:$C$306,C270,$B$7:$B$306,B270,$F$7:$F$306,F270,$H$7:$H$306,"&lt;&gt;아니오")&gt;1),"중복 의심(같은 문서번호·구분·상태)","정상")))))))))))</f>
        <v/>
      </c>
      <c r="N270" s="15" t="str">
        <f t="shared" si="9"/>
        <v/>
      </c>
    </row>
    <row r="271" spans="1:14">
      <c r="A271" s="7"/>
      <c r="B271" s="3"/>
      <c r="C271" s="3"/>
      <c r="D271" s="3"/>
      <c r="E271" s="3"/>
      <c r="F271" s="3"/>
      <c r="G271" s="6"/>
      <c r="H271" s="3"/>
      <c r="I271" s="3"/>
      <c r="J271" s="3"/>
      <c r="K271" s="4" t="str">
        <f>IF(AND(D271="",E271=""),"",IF(E271="",1,IFERROR(INDEX(상품·기준!$C$35:$C$38,MATCH(E271,상품·기준!$A$35:$A$38,0)),"단위 확인")))</f>
        <v/>
      </c>
      <c r="L271" s="4" t="str">
        <f t="shared" si="8"/>
        <v/>
      </c>
      <c r="M271" s="4" t="str">
        <f>IF(COUNTA(A271:J271)=0,"",IF(A271="","날짜 미입력",IF(NOT(ISNUMBER(A271)),"날짜 확인(날짜 형식이 아님)",IF(B271="","구분 미입력",IF(D271="","수량 미입력",IF(NOT(ISNUMBER(D271)),"수량 확인(숫자가 아님)",IF(AND(D271&lt;0,B271&lt;&gt;"조정"),"음수 수량(구분으로 방향 표시)",IF(NOT(ISNUMBER(K271)),"단위 확인",IF(AND(OR(B271="입고",B271="기초"),G271=""),"단가 미입력",IF(OR(A271&lt;상품·기준!$C$14,A271&gt;상품·기준!$C$15),"기간 밖",IF(AND(H271&lt;&gt;"아니오",C271&lt;&gt;"",COUNTIFS($C$7:$C$306,C271,$B$7:$B$306,B271,$F$7:$F$306,F271,$H$7:$H$306,"&lt;&gt;아니오")&gt;1),"중복 의심(같은 문서번호·구분·상태)","정상")))))))))))</f>
        <v/>
      </c>
      <c r="N271" s="15" t="str">
        <f t="shared" si="9"/>
        <v/>
      </c>
    </row>
    <row r="272" spans="1:14">
      <c r="A272" s="7"/>
      <c r="B272" s="3"/>
      <c r="C272" s="3"/>
      <c r="D272" s="3"/>
      <c r="E272" s="3"/>
      <c r="F272" s="3"/>
      <c r="G272" s="6"/>
      <c r="H272" s="3"/>
      <c r="I272" s="3"/>
      <c r="J272" s="3"/>
      <c r="K272" s="4" t="str">
        <f>IF(AND(D272="",E272=""),"",IF(E272="",1,IFERROR(INDEX(상품·기준!$C$35:$C$38,MATCH(E272,상품·기준!$A$35:$A$38,0)),"단위 확인")))</f>
        <v/>
      </c>
      <c r="L272" s="4" t="str">
        <f t="shared" si="8"/>
        <v/>
      </c>
      <c r="M272" s="4" t="str">
        <f>IF(COUNTA(A272:J272)=0,"",IF(A272="","날짜 미입력",IF(NOT(ISNUMBER(A272)),"날짜 확인(날짜 형식이 아님)",IF(B272="","구분 미입력",IF(D272="","수량 미입력",IF(NOT(ISNUMBER(D272)),"수량 확인(숫자가 아님)",IF(AND(D272&lt;0,B272&lt;&gt;"조정"),"음수 수량(구분으로 방향 표시)",IF(NOT(ISNUMBER(K272)),"단위 확인",IF(AND(OR(B272="입고",B272="기초"),G272=""),"단가 미입력",IF(OR(A272&lt;상품·기준!$C$14,A272&gt;상품·기준!$C$15),"기간 밖",IF(AND(H272&lt;&gt;"아니오",C272&lt;&gt;"",COUNTIFS($C$7:$C$306,C272,$B$7:$B$306,B272,$F$7:$F$306,F272,$H$7:$H$306,"&lt;&gt;아니오")&gt;1),"중복 의심(같은 문서번호·구분·상태)","정상")))))))))))</f>
        <v/>
      </c>
      <c r="N272" s="15" t="str">
        <f t="shared" si="9"/>
        <v/>
      </c>
    </row>
    <row r="273" spans="1:14">
      <c r="A273" s="7"/>
      <c r="B273" s="3"/>
      <c r="C273" s="3"/>
      <c r="D273" s="3"/>
      <c r="E273" s="3"/>
      <c r="F273" s="3"/>
      <c r="G273" s="6"/>
      <c r="H273" s="3"/>
      <c r="I273" s="3"/>
      <c r="J273" s="3"/>
      <c r="K273" s="4" t="str">
        <f>IF(AND(D273="",E273=""),"",IF(E273="",1,IFERROR(INDEX(상품·기준!$C$35:$C$38,MATCH(E273,상품·기준!$A$35:$A$38,0)),"단위 확인")))</f>
        <v/>
      </c>
      <c r="L273" s="4" t="str">
        <f t="shared" si="8"/>
        <v/>
      </c>
      <c r="M273" s="4" t="str">
        <f>IF(COUNTA(A273:J273)=0,"",IF(A273="","날짜 미입력",IF(NOT(ISNUMBER(A273)),"날짜 확인(날짜 형식이 아님)",IF(B273="","구분 미입력",IF(D273="","수량 미입력",IF(NOT(ISNUMBER(D273)),"수량 확인(숫자가 아님)",IF(AND(D273&lt;0,B273&lt;&gt;"조정"),"음수 수량(구분으로 방향 표시)",IF(NOT(ISNUMBER(K273)),"단위 확인",IF(AND(OR(B273="입고",B273="기초"),G273=""),"단가 미입력",IF(OR(A273&lt;상품·기준!$C$14,A273&gt;상품·기준!$C$15),"기간 밖",IF(AND(H273&lt;&gt;"아니오",C273&lt;&gt;"",COUNTIFS($C$7:$C$306,C273,$B$7:$B$306,B273,$F$7:$F$306,F273,$H$7:$H$306,"&lt;&gt;아니오")&gt;1),"중복 의심(같은 문서번호·구분·상태)","정상")))))))))))</f>
        <v/>
      </c>
      <c r="N273" s="15" t="str">
        <f t="shared" si="9"/>
        <v/>
      </c>
    </row>
    <row r="274" spans="1:14">
      <c r="A274" s="7"/>
      <c r="B274" s="3"/>
      <c r="C274" s="3"/>
      <c r="D274" s="3"/>
      <c r="E274" s="3"/>
      <c r="F274" s="3"/>
      <c r="G274" s="6"/>
      <c r="H274" s="3"/>
      <c r="I274" s="3"/>
      <c r="J274" s="3"/>
      <c r="K274" s="4" t="str">
        <f>IF(AND(D274="",E274=""),"",IF(E274="",1,IFERROR(INDEX(상품·기준!$C$35:$C$38,MATCH(E274,상품·기준!$A$35:$A$38,0)),"단위 확인")))</f>
        <v/>
      </c>
      <c r="L274" s="4" t="str">
        <f t="shared" si="8"/>
        <v/>
      </c>
      <c r="M274" s="4" t="str">
        <f>IF(COUNTA(A274:J274)=0,"",IF(A274="","날짜 미입력",IF(NOT(ISNUMBER(A274)),"날짜 확인(날짜 형식이 아님)",IF(B274="","구분 미입력",IF(D274="","수량 미입력",IF(NOT(ISNUMBER(D274)),"수량 확인(숫자가 아님)",IF(AND(D274&lt;0,B274&lt;&gt;"조정"),"음수 수량(구분으로 방향 표시)",IF(NOT(ISNUMBER(K274)),"단위 확인",IF(AND(OR(B274="입고",B274="기초"),G274=""),"단가 미입력",IF(OR(A274&lt;상품·기준!$C$14,A274&gt;상품·기준!$C$15),"기간 밖",IF(AND(H274&lt;&gt;"아니오",C274&lt;&gt;"",COUNTIFS($C$7:$C$306,C274,$B$7:$B$306,B274,$F$7:$F$306,F274,$H$7:$H$306,"&lt;&gt;아니오")&gt;1),"중복 의심(같은 문서번호·구분·상태)","정상")))))))))))</f>
        <v/>
      </c>
      <c r="N274" s="15" t="str">
        <f t="shared" si="9"/>
        <v/>
      </c>
    </row>
    <row r="275" spans="1:14">
      <c r="A275" s="7"/>
      <c r="B275" s="3"/>
      <c r="C275" s="3"/>
      <c r="D275" s="3"/>
      <c r="E275" s="3"/>
      <c r="F275" s="3"/>
      <c r="G275" s="6"/>
      <c r="H275" s="3"/>
      <c r="I275" s="3"/>
      <c r="J275" s="3"/>
      <c r="K275" s="4" t="str">
        <f>IF(AND(D275="",E275=""),"",IF(E275="",1,IFERROR(INDEX(상품·기준!$C$35:$C$38,MATCH(E275,상품·기준!$A$35:$A$38,0)),"단위 확인")))</f>
        <v/>
      </c>
      <c r="L275" s="4" t="str">
        <f t="shared" si="8"/>
        <v/>
      </c>
      <c r="M275" s="4" t="str">
        <f>IF(COUNTA(A275:J275)=0,"",IF(A275="","날짜 미입력",IF(NOT(ISNUMBER(A275)),"날짜 확인(날짜 형식이 아님)",IF(B275="","구분 미입력",IF(D275="","수량 미입력",IF(NOT(ISNUMBER(D275)),"수량 확인(숫자가 아님)",IF(AND(D275&lt;0,B275&lt;&gt;"조정"),"음수 수량(구분으로 방향 표시)",IF(NOT(ISNUMBER(K275)),"단위 확인",IF(AND(OR(B275="입고",B275="기초"),G275=""),"단가 미입력",IF(OR(A275&lt;상품·기준!$C$14,A275&gt;상품·기준!$C$15),"기간 밖",IF(AND(H275&lt;&gt;"아니오",C275&lt;&gt;"",COUNTIFS($C$7:$C$306,C275,$B$7:$B$306,B275,$F$7:$F$306,F275,$H$7:$H$306,"&lt;&gt;아니오")&gt;1),"중복 의심(같은 문서번호·구분·상태)","정상")))))))))))</f>
        <v/>
      </c>
      <c r="N275" s="15" t="str">
        <f t="shared" si="9"/>
        <v/>
      </c>
    </row>
    <row r="276" spans="1:14">
      <c r="A276" s="7"/>
      <c r="B276" s="3"/>
      <c r="C276" s="3"/>
      <c r="D276" s="3"/>
      <c r="E276" s="3"/>
      <c r="F276" s="3"/>
      <c r="G276" s="6"/>
      <c r="H276" s="3"/>
      <c r="I276" s="3"/>
      <c r="J276" s="3"/>
      <c r="K276" s="4" t="str">
        <f>IF(AND(D276="",E276=""),"",IF(E276="",1,IFERROR(INDEX(상품·기준!$C$35:$C$38,MATCH(E276,상품·기준!$A$35:$A$38,0)),"단위 확인")))</f>
        <v/>
      </c>
      <c r="L276" s="4" t="str">
        <f t="shared" si="8"/>
        <v/>
      </c>
      <c r="M276" s="4" t="str">
        <f>IF(COUNTA(A276:J276)=0,"",IF(A276="","날짜 미입력",IF(NOT(ISNUMBER(A276)),"날짜 확인(날짜 형식이 아님)",IF(B276="","구분 미입력",IF(D276="","수량 미입력",IF(NOT(ISNUMBER(D276)),"수량 확인(숫자가 아님)",IF(AND(D276&lt;0,B276&lt;&gt;"조정"),"음수 수량(구분으로 방향 표시)",IF(NOT(ISNUMBER(K276)),"단위 확인",IF(AND(OR(B276="입고",B276="기초"),G276=""),"단가 미입력",IF(OR(A276&lt;상품·기준!$C$14,A276&gt;상품·기준!$C$15),"기간 밖",IF(AND(H276&lt;&gt;"아니오",C276&lt;&gt;"",COUNTIFS($C$7:$C$306,C276,$B$7:$B$306,B276,$F$7:$F$306,F276,$H$7:$H$306,"&lt;&gt;아니오")&gt;1),"중복 의심(같은 문서번호·구분·상태)","정상")))))))))))</f>
        <v/>
      </c>
      <c r="N276" s="15" t="str">
        <f t="shared" si="9"/>
        <v/>
      </c>
    </row>
    <row r="277" spans="1:14">
      <c r="A277" s="7"/>
      <c r="B277" s="3"/>
      <c r="C277" s="3"/>
      <c r="D277" s="3"/>
      <c r="E277" s="3"/>
      <c r="F277" s="3"/>
      <c r="G277" s="6"/>
      <c r="H277" s="3"/>
      <c r="I277" s="3"/>
      <c r="J277" s="3"/>
      <c r="K277" s="4" t="str">
        <f>IF(AND(D277="",E277=""),"",IF(E277="",1,IFERROR(INDEX(상품·기준!$C$35:$C$38,MATCH(E277,상품·기준!$A$35:$A$38,0)),"단위 확인")))</f>
        <v/>
      </c>
      <c r="L277" s="4" t="str">
        <f t="shared" si="8"/>
        <v/>
      </c>
      <c r="M277" s="4" t="str">
        <f>IF(COUNTA(A277:J277)=0,"",IF(A277="","날짜 미입력",IF(NOT(ISNUMBER(A277)),"날짜 확인(날짜 형식이 아님)",IF(B277="","구분 미입력",IF(D277="","수량 미입력",IF(NOT(ISNUMBER(D277)),"수량 확인(숫자가 아님)",IF(AND(D277&lt;0,B277&lt;&gt;"조정"),"음수 수량(구분으로 방향 표시)",IF(NOT(ISNUMBER(K277)),"단위 확인",IF(AND(OR(B277="입고",B277="기초"),G277=""),"단가 미입력",IF(OR(A277&lt;상품·기준!$C$14,A277&gt;상품·기준!$C$15),"기간 밖",IF(AND(H277&lt;&gt;"아니오",C277&lt;&gt;"",COUNTIFS($C$7:$C$306,C277,$B$7:$B$306,B277,$F$7:$F$306,F277,$H$7:$H$306,"&lt;&gt;아니오")&gt;1),"중복 의심(같은 문서번호·구분·상태)","정상")))))))))))</f>
        <v/>
      </c>
      <c r="N277" s="15" t="str">
        <f t="shared" si="9"/>
        <v/>
      </c>
    </row>
    <row r="278" spans="1:14">
      <c r="A278" s="7"/>
      <c r="B278" s="3"/>
      <c r="C278" s="3"/>
      <c r="D278" s="3"/>
      <c r="E278" s="3"/>
      <c r="F278" s="3"/>
      <c r="G278" s="6"/>
      <c r="H278" s="3"/>
      <c r="I278" s="3"/>
      <c r="J278" s="3"/>
      <c r="K278" s="4" t="str">
        <f>IF(AND(D278="",E278=""),"",IF(E278="",1,IFERROR(INDEX(상품·기준!$C$35:$C$38,MATCH(E278,상품·기준!$A$35:$A$38,0)),"단위 확인")))</f>
        <v/>
      </c>
      <c r="L278" s="4" t="str">
        <f t="shared" si="8"/>
        <v/>
      </c>
      <c r="M278" s="4" t="str">
        <f>IF(COUNTA(A278:J278)=0,"",IF(A278="","날짜 미입력",IF(NOT(ISNUMBER(A278)),"날짜 확인(날짜 형식이 아님)",IF(B278="","구분 미입력",IF(D278="","수량 미입력",IF(NOT(ISNUMBER(D278)),"수량 확인(숫자가 아님)",IF(AND(D278&lt;0,B278&lt;&gt;"조정"),"음수 수량(구분으로 방향 표시)",IF(NOT(ISNUMBER(K278)),"단위 확인",IF(AND(OR(B278="입고",B278="기초"),G278=""),"단가 미입력",IF(OR(A278&lt;상품·기준!$C$14,A278&gt;상품·기준!$C$15),"기간 밖",IF(AND(H278&lt;&gt;"아니오",C278&lt;&gt;"",COUNTIFS($C$7:$C$306,C278,$B$7:$B$306,B278,$F$7:$F$306,F278,$H$7:$H$306,"&lt;&gt;아니오")&gt;1),"중복 의심(같은 문서번호·구분·상태)","정상")))))))))))</f>
        <v/>
      </c>
      <c r="N278" s="15" t="str">
        <f t="shared" si="9"/>
        <v/>
      </c>
    </row>
    <row r="279" spans="1:14">
      <c r="A279" s="7"/>
      <c r="B279" s="3"/>
      <c r="C279" s="3"/>
      <c r="D279" s="3"/>
      <c r="E279" s="3"/>
      <c r="F279" s="3"/>
      <c r="G279" s="6"/>
      <c r="H279" s="3"/>
      <c r="I279" s="3"/>
      <c r="J279" s="3"/>
      <c r="K279" s="4" t="str">
        <f>IF(AND(D279="",E279=""),"",IF(E279="",1,IFERROR(INDEX(상품·기준!$C$35:$C$38,MATCH(E279,상품·기준!$A$35:$A$38,0)),"단위 확인")))</f>
        <v/>
      </c>
      <c r="L279" s="4" t="str">
        <f t="shared" si="8"/>
        <v/>
      </c>
      <c r="M279" s="4" t="str">
        <f>IF(COUNTA(A279:J279)=0,"",IF(A279="","날짜 미입력",IF(NOT(ISNUMBER(A279)),"날짜 확인(날짜 형식이 아님)",IF(B279="","구분 미입력",IF(D279="","수량 미입력",IF(NOT(ISNUMBER(D279)),"수량 확인(숫자가 아님)",IF(AND(D279&lt;0,B279&lt;&gt;"조정"),"음수 수량(구분으로 방향 표시)",IF(NOT(ISNUMBER(K279)),"단위 확인",IF(AND(OR(B279="입고",B279="기초"),G279=""),"단가 미입력",IF(OR(A279&lt;상품·기준!$C$14,A279&gt;상품·기준!$C$15),"기간 밖",IF(AND(H279&lt;&gt;"아니오",C279&lt;&gt;"",COUNTIFS($C$7:$C$306,C279,$B$7:$B$306,B279,$F$7:$F$306,F279,$H$7:$H$306,"&lt;&gt;아니오")&gt;1),"중복 의심(같은 문서번호·구분·상태)","정상")))))))))))</f>
        <v/>
      </c>
      <c r="N279" s="15" t="str">
        <f t="shared" si="9"/>
        <v/>
      </c>
    </row>
    <row r="280" spans="1:14">
      <c r="A280" s="7"/>
      <c r="B280" s="3"/>
      <c r="C280" s="3"/>
      <c r="D280" s="3"/>
      <c r="E280" s="3"/>
      <c r="F280" s="3"/>
      <c r="G280" s="6"/>
      <c r="H280" s="3"/>
      <c r="I280" s="3"/>
      <c r="J280" s="3"/>
      <c r="K280" s="4" t="str">
        <f>IF(AND(D280="",E280=""),"",IF(E280="",1,IFERROR(INDEX(상품·기준!$C$35:$C$38,MATCH(E280,상품·기준!$A$35:$A$38,0)),"단위 확인")))</f>
        <v/>
      </c>
      <c r="L280" s="4" t="str">
        <f t="shared" si="8"/>
        <v/>
      </c>
      <c r="M280" s="4" t="str">
        <f>IF(COUNTA(A280:J280)=0,"",IF(A280="","날짜 미입력",IF(NOT(ISNUMBER(A280)),"날짜 확인(날짜 형식이 아님)",IF(B280="","구분 미입력",IF(D280="","수량 미입력",IF(NOT(ISNUMBER(D280)),"수량 확인(숫자가 아님)",IF(AND(D280&lt;0,B280&lt;&gt;"조정"),"음수 수량(구분으로 방향 표시)",IF(NOT(ISNUMBER(K280)),"단위 확인",IF(AND(OR(B280="입고",B280="기초"),G280=""),"단가 미입력",IF(OR(A280&lt;상품·기준!$C$14,A280&gt;상품·기준!$C$15),"기간 밖",IF(AND(H280&lt;&gt;"아니오",C280&lt;&gt;"",COUNTIFS($C$7:$C$306,C280,$B$7:$B$306,B280,$F$7:$F$306,F280,$H$7:$H$306,"&lt;&gt;아니오")&gt;1),"중복 의심(같은 문서번호·구분·상태)","정상")))))))))))</f>
        <v/>
      </c>
      <c r="N280" s="15" t="str">
        <f t="shared" si="9"/>
        <v/>
      </c>
    </row>
    <row r="281" spans="1:14">
      <c r="A281" s="7"/>
      <c r="B281" s="3"/>
      <c r="C281" s="3"/>
      <c r="D281" s="3"/>
      <c r="E281" s="3"/>
      <c r="F281" s="3"/>
      <c r="G281" s="6"/>
      <c r="H281" s="3"/>
      <c r="I281" s="3"/>
      <c r="J281" s="3"/>
      <c r="K281" s="4" t="str">
        <f>IF(AND(D281="",E281=""),"",IF(E281="",1,IFERROR(INDEX(상품·기준!$C$35:$C$38,MATCH(E281,상품·기준!$A$35:$A$38,0)),"단위 확인")))</f>
        <v/>
      </c>
      <c r="L281" s="4" t="str">
        <f t="shared" si="8"/>
        <v/>
      </c>
      <c r="M281" s="4" t="str">
        <f>IF(COUNTA(A281:J281)=0,"",IF(A281="","날짜 미입력",IF(NOT(ISNUMBER(A281)),"날짜 확인(날짜 형식이 아님)",IF(B281="","구분 미입력",IF(D281="","수량 미입력",IF(NOT(ISNUMBER(D281)),"수량 확인(숫자가 아님)",IF(AND(D281&lt;0,B281&lt;&gt;"조정"),"음수 수량(구분으로 방향 표시)",IF(NOT(ISNUMBER(K281)),"단위 확인",IF(AND(OR(B281="입고",B281="기초"),G281=""),"단가 미입력",IF(OR(A281&lt;상품·기준!$C$14,A281&gt;상품·기준!$C$15),"기간 밖",IF(AND(H281&lt;&gt;"아니오",C281&lt;&gt;"",COUNTIFS($C$7:$C$306,C281,$B$7:$B$306,B281,$F$7:$F$306,F281,$H$7:$H$306,"&lt;&gt;아니오")&gt;1),"중복 의심(같은 문서번호·구분·상태)","정상")))))))))))</f>
        <v/>
      </c>
      <c r="N281" s="15" t="str">
        <f t="shared" si="9"/>
        <v/>
      </c>
    </row>
    <row r="282" spans="1:14">
      <c r="A282" s="7"/>
      <c r="B282" s="3"/>
      <c r="C282" s="3"/>
      <c r="D282" s="3"/>
      <c r="E282" s="3"/>
      <c r="F282" s="3"/>
      <c r="G282" s="6"/>
      <c r="H282" s="3"/>
      <c r="I282" s="3"/>
      <c r="J282" s="3"/>
      <c r="K282" s="4" t="str">
        <f>IF(AND(D282="",E282=""),"",IF(E282="",1,IFERROR(INDEX(상품·기준!$C$35:$C$38,MATCH(E282,상품·기준!$A$35:$A$38,0)),"단위 확인")))</f>
        <v/>
      </c>
      <c r="L282" s="4" t="str">
        <f t="shared" si="8"/>
        <v/>
      </c>
      <c r="M282" s="4" t="str">
        <f>IF(COUNTA(A282:J282)=0,"",IF(A282="","날짜 미입력",IF(NOT(ISNUMBER(A282)),"날짜 확인(날짜 형식이 아님)",IF(B282="","구분 미입력",IF(D282="","수량 미입력",IF(NOT(ISNUMBER(D282)),"수량 확인(숫자가 아님)",IF(AND(D282&lt;0,B282&lt;&gt;"조정"),"음수 수량(구분으로 방향 표시)",IF(NOT(ISNUMBER(K282)),"단위 확인",IF(AND(OR(B282="입고",B282="기초"),G282=""),"단가 미입력",IF(OR(A282&lt;상품·기준!$C$14,A282&gt;상품·기준!$C$15),"기간 밖",IF(AND(H282&lt;&gt;"아니오",C282&lt;&gt;"",COUNTIFS($C$7:$C$306,C282,$B$7:$B$306,B282,$F$7:$F$306,F282,$H$7:$H$306,"&lt;&gt;아니오")&gt;1),"중복 의심(같은 문서번호·구분·상태)","정상")))))))))))</f>
        <v/>
      </c>
      <c r="N282" s="15" t="str">
        <f t="shared" si="9"/>
        <v/>
      </c>
    </row>
    <row r="283" spans="1:14">
      <c r="A283" s="7"/>
      <c r="B283" s="3"/>
      <c r="C283" s="3"/>
      <c r="D283" s="3"/>
      <c r="E283" s="3"/>
      <c r="F283" s="3"/>
      <c r="G283" s="6"/>
      <c r="H283" s="3"/>
      <c r="I283" s="3"/>
      <c r="J283" s="3"/>
      <c r="K283" s="4" t="str">
        <f>IF(AND(D283="",E283=""),"",IF(E283="",1,IFERROR(INDEX(상품·기준!$C$35:$C$38,MATCH(E283,상품·기준!$A$35:$A$38,0)),"단위 확인")))</f>
        <v/>
      </c>
      <c r="L283" s="4" t="str">
        <f t="shared" si="8"/>
        <v/>
      </c>
      <c r="M283" s="4" t="str">
        <f>IF(COUNTA(A283:J283)=0,"",IF(A283="","날짜 미입력",IF(NOT(ISNUMBER(A283)),"날짜 확인(날짜 형식이 아님)",IF(B283="","구분 미입력",IF(D283="","수량 미입력",IF(NOT(ISNUMBER(D283)),"수량 확인(숫자가 아님)",IF(AND(D283&lt;0,B283&lt;&gt;"조정"),"음수 수량(구분으로 방향 표시)",IF(NOT(ISNUMBER(K283)),"단위 확인",IF(AND(OR(B283="입고",B283="기초"),G283=""),"단가 미입력",IF(OR(A283&lt;상품·기준!$C$14,A283&gt;상품·기준!$C$15),"기간 밖",IF(AND(H283&lt;&gt;"아니오",C283&lt;&gt;"",COUNTIFS($C$7:$C$306,C283,$B$7:$B$306,B283,$F$7:$F$306,F283,$H$7:$H$306,"&lt;&gt;아니오")&gt;1),"중복 의심(같은 문서번호·구분·상태)","정상")))))))))))</f>
        <v/>
      </c>
      <c r="N283" s="15" t="str">
        <f t="shared" si="9"/>
        <v/>
      </c>
    </row>
    <row r="284" spans="1:14">
      <c r="A284" s="7"/>
      <c r="B284" s="3"/>
      <c r="C284" s="3"/>
      <c r="D284" s="3"/>
      <c r="E284" s="3"/>
      <c r="F284" s="3"/>
      <c r="G284" s="6"/>
      <c r="H284" s="3"/>
      <c r="I284" s="3"/>
      <c r="J284" s="3"/>
      <c r="K284" s="4" t="str">
        <f>IF(AND(D284="",E284=""),"",IF(E284="",1,IFERROR(INDEX(상품·기준!$C$35:$C$38,MATCH(E284,상품·기준!$A$35:$A$38,0)),"단위 확인")))</f>
        <v/>
      </c>
      <c r="L284" s="4" t="str">
        <f t="shared" si="8"/>
        <v/>
      </c>
      <c r="M284" s="4" t="str">
        <f>IF(COUNTA(A284:J284)=0,"",IF(A284="","날짜 미입력",IF(NOT(ISNUMBER(A284)),"날짜 확인(날짜 형식이 아님)",IF(B284="","구분 미입력",IF(D284="","수량 미입력",IF(NOT(ISNUMBER(D284)),"수량 확인(숫자가 아님)",IF(AND(D284&lt;0,B284&lt;&gt;"조정"),"음수 수량(구분으로 방향 표시)",IF(NOT(ISNUMBER(K284)),"단위 확인",IF(AND(OR(B284="입고",B284="기초"),G284=""),"단가 미입력",IF(OR(A284&lt;상품·기준!$C$14,A284&gt;상품·기준!$C$15),"기간 밖",IF(AND(H284&lt;&gt;"아니오",C284&lt;&gt;"",COUNTIFS($C$7:$C$306,C284,$B$7:$B$306,B284,$F$7:$F$306,F284,$H$7:$H$306,"&lt;&gt;아니오")&gt;1),"중복 의심(같은 문서번호·구분·상태)","정상")))))))))))</f>
        <v/>
      </c>
      <c r="N284" s="15" t="str">
        <f t="shared" si="9"/>
        <v/>
      </c>
    </row>
    <row r="285" spans="1:14">
      <c r="A285" s="7"/>
      <c r="B285" s="3"/>
      <c r="C285" s="3"/>
      <c r="D285" s="3"/>
      <c r="E285" s="3"/>
      <c r="F285" s="3"/>
      <c r="G285" s="6"/>
      <c r="H285" s="3"/>
      <c r="I285" s="3"/>
      <c r="J285" s="3"/>
      <c r="K285" s="4" t="str">
        <f>IF(AND(D285="",E285=""),"",IF(E285="",1,IFERROR(INDEX(상품·기준!$C$35:$C$38,MATCH(E285,상품·기준!$A$35:$A$38,0)),"단위 확인")))</f>
        <v/>
      </c>
      <c r="L285" s="4" t="str">
        <f t="shared" si="8"/>
        <v/>
      </c>
      <c r="M285" s="4" t="str">
        <f>IF(COUNTA(A285:J285)=0,"",IF(A285="","날짜 미입력",IF(NOT(ISNUMBER(A285)),"날짜 확인(날짜 형식이 아님)",IF(B285="","구분 미입력",IF(D285="","수량 미입력",IF(NOT(ISNUMBER(D285)),"수량 확인(숫자가 아님)",IF(AND(D285&lt;0,B285&lt;&gt;"조정"),"음수 수량(구분으로 방향 표시)",IF(NOT(ISNUMBER(K285)),"단위 확인",IF(AND(OR(B285="입고",B285="기초"),G285=""),"단가 미입력",IF(OR(A285&lt;상품·기준!$C$14,A285&gt;상품·기준!$C$15),"기간 밖",IF(AND(H285&lt;&gt;"아니오",C285&lt;&gt;"",COUNTIFS($C$7:$C$306,C285,$B$7:$B$306,B285,$F$7:$F$306,F285,$H$7:$H$306,"&lt;&gt;아니오")&gt;1),"중복 의심(같은 문서번호·구분·상태)","정상")))))))))))</f>
        <v/>
      </c>
      <c r="N285" s="15" t="str">
        <f t="shared" si="9"/>
        <v/>
      </c>
    </row>
    <row r="286" spans="1:14">
      <c r="A286" s="7"/>
      <c r="B286" s="3"/>
      <c r="C286" s="3"/>
      <c r="D286" s="3"/>
      <c r="E286" s="3"/>
      <c r="F286" s="3"/>
      <c r="G286" s="6"/>
      <c r="H286" s="3"/>
      <c r="I286" s="3"/>
      <c r="J286" s="3"/>
      <c r="K286" s="4" t="str">
        <f>IF(AND(D286="",E286=""),"",IF(E286="",1,IFERROR(INDEX(상품·기준!$C$35:$C$38,MATCH(E286,상품·기준!$A$35:$A$38,0)),"단위 확인")))</f>
        <v/>
      </c>
      <c r="L286" s="4" t="str">
        <f t="shared" si="8"/>
        <v/>
      </c>
      <c r="M286" s="4" t="str">
        <f>IF(COUNTA(A286:J286)=0,"",IF(A286="","날짜 미입력",IF(NOT(ISNUMBER(A286)),"날짜 확인(날짜 형식이 아님)",IF(B286="","구분 미입력",IF(D286="","수량 미입력",IF(NOT(ISNUMBER(D286)),"수량 확인(숫자가 아님)",IF(AND(D286&lt;0,B286&lt;&gt;"조정"),"음수 수량(구분으로 방향 표시)",IF(NOT(ISNUMBER(K286)),"단위 확인",IF(AND(OR(B286="입고",B286="기초"),G286=""),"단가 미입력",IF(OR(A286&lt;상품·기준!$C$14,A286&gt;상품·기준!$C$15),"기간 밖",IF(AND(H286&lt;&gt;"아니오",C286&lt;&gt;"",COUNTIFS($C$7:$C$306,C286,$B$7:$B$306,B286,$F$7:$F$306,F286,$H$7:$H$306,"&lt;&gt;아니오")&gt;1),"중복 의심(같은 문서번호·구분·상태)","정상")))))))))))</f>
        <v/>
      </c>
      <c r="N286" s="15" t="str">
        <f t="shared" si="9"/>
        <v/>
      </c>
    </row>
    <row r="287" spans="1:14">
      <c r="A287" s="7"/>
      <c r="B287" s="3"/>
      <c r="C287" s="3"/>
      <c r="D287" s="3"/>
      <c r="E287" s="3"/>
      <c r="F287" s="3"/>
      <c r="G287" s="6"/>
      <c r="H287" s="3"/>
      <c r="I287" s="3"/>
      <c r="J287" s="3"/>
      <c r="K287" s="4" t="str">
        <f>IF(AND(D287="",E287=""),"",IF(E287="",1,IFERROR(INDEX(상품·기준!$C$35:$C$38,MATCH(E287,상품·기준!$A$35:$A$38,0)),"단위 확인")))</f>
        <v/>
      </c>
      <c r="L287" s="4" t="str">
        <f t="shared" si="8"/>
        <v/>
      </c>
      <c r="M287" s="4" t="str">
        <f>IF(COUNTA(A287:J287)=0,"",IF(A287="","날짜 미입력",IF(NOT(ISNUMBER(A287)),"날짜 확인(날짜 형식이 아님)",IF(B287="","구분 미입력",IF(D287="","수량 미입력",IF(NOT(ISNUMBER(D287)),"수량 확인(숫자가 아님)",IF(AND(D287&lt;0,B287&lt;&gt;"조정"),"음수 수량(구분으로 방향 표시)",IF(NOT(ISNUMBER(K287)),"단위 확인",IF(AND(OR(B287="입고",B287="기초"),G287=""),"단가 미입력",IF(OR(A287&lt;상품·기준!$C$14,A287&gt;상품·기준!$C$15),"기간 밖",IF(AND(H287&lt;&gt;"아니오",C287&lt;&gt;"",COUNTIFS($C$7:$C$306,C287,$B$7:$B$306,B287,$F$7:$F$306,F287,$H$7:$H$306,"&lt;&gt;아니오")&gt;1),"중복 의심(같은 문서번호·구분·상태)","정상")))))))))))</f>
        <v/>
      </c>
      <c r="N287" s="15" t="str">
        <f t="shared" si="9"/>
        <v/>
      </c>
    </row>
    <row r="288" spans="1:14">
      <c r="A288" s="7"/>
      <c r="B288" s="3"/>
      <c r="C288" s="3"/>
      <c r="D288" s="3"/>
      <c r="E288" s="3"/>
      <c r="F288" s="3"/>
      <c r="G288" s="6"/>
      <c r="H288" s="3"/>
      <c r="I288" s="3"/>
      <c r="J288" s="3"/>
      <c r="K288" s="4" t="str">
        <f>IF(AND(D288="",E288=""),"",IF(E288="",1,IFERROR(INDEX(상품·기준!$C$35:$C$38,MATCH(E288,상품·기준!$A$35:$A$38,0)),"단위 확인")))</f>
        <v/>
      </c>
      <c r="L288" s="4" t="str">
        <f t="shared" si="8"/>
        <v/>
      </c>
      <c r="M288" s="4" t="str">
        <f>IF(COUNTA(A288:J288)=0,"",IF(A288="","날짜 미입력",IF(NOT(ISNUMBER(A288)),"날짜 확인(날짜 형식이 아님)",IF(B288="","구분 미입력",IF(D288="","수량 미입력",IF(NOT(ISNUMBER(D288)),"수량 확인(숫자가 아님)",IF(AND(D288&lt;0,B288&lt;&gt;"조정"),"음수 수량(구분으로 방향 표시)",IF(NOT(ISNUMBER(K288)),"단위 확인",IF(AND(OR(B288="입고",B288="기초"),G288=""),"단가 미입력",IF(OR(A288&lt;상품·기준!$C$14,A288&gt;상품·기준!$C$15),"기간 밖",IF(AND(H288&lt;&gt;"아니오",C288&lt;&gt;"",COUNTIFS($C$7:$C$306,C288,$B$7:$B$306,B288,$F$7:$F$306,F288,$H$7:$H$306,"&lt;&gt;아니오")&gt;1),"중복 의심(같은 문서번호·구분·상태)","정상")))))))))))</f>
        <v/>
      </c>
      <c r="N288" s="15" t="str">
        <f t="shared" si="9"/>
        <v/>
      </c>
    </row>
    <row r="289" spans="1:14">
      <c r="A289" s="7"/>
      <c r="B289" s="3"/>
      <c r="C289" s="3"/>
      <c r="D289" s="3"/>
      <c r="E289" s="3"/>
      <c r="F289" s="3"/>
      <c r="G289" s="6"/>
      <c r="H289" s="3"/>
      <c r="I289" s="3"/>
      <c r="J289" s="3"/>
      <c r="K289" s="4" t="str">
        <f>IF(AND(D289="",E289=""),"",IF(E289="",1,IFERROR(INDEX(상품·기준!$C$35:$C$38,MATCH(E289,상품·기준!$A$35:$A$38,0)),"단위 확인")))</f>
        <v/>
      </c>
      <c r="L289" s="4" t="str">
        <f t="shared" si="8"/>
        <v/>
      </c>
      <c r="M289" s="4" t="str">
        <f>IF(COUNTA(A289:J289)=0,"",IF(A289="","날짜 미입력",IF(NOT(ISNUMBER(A289)),"날짜 확인(날짜 형식이 아님)",IF(B289="","구분 미입력",IF(D289="","수량 미입력",IF(NOT(ISNUMBER(D289)),"수량 확인(숫자가 아님)",IF(AND(D289&lt;0,B289&lt;&gt;"조정"),"음수 수량(구분으로 방향 표시)",IF(NOT(ISNUMBER(K289)),"단위 확인",IF(AND(OR(B289="입고",B289="기초"),G289=""),"단가 미입력",IF(OR(A289&lt;상품·기준!$C$14,A289&gt;상품·기준!$C$15),"기간 밖",IF(AND(H289&lt;&gt;"아니오",C289&lt;&gt;"",COUNTIFS($C$7:$C$306,C289,$B$7:$B$306,B289,$F$7:$F$306,F289,$H$7:$H$306,"&lt;&gt;아니오")&gt;1),"중복 의심(같은 문서번호·구분·상태)","정상")))))))))))</f>
        <v/>
      </c>
      <c r="N289" s="15" t="str">
        <f t="shared" si="9"/>
        <v/>
      </c>
    </row>
    <row r="290" spans="1:14">
      <c r="A290" s="7"/>
      <c r="B290" s="3"/>
      <c r="C290" s="3"/>
      <c r="D290" s="3"/>
      <c r="E290" s="3"/>
      <c r="F290" s="3"/>
      <c r="G290" s="6"/>
      <c r="H290" s="3"/>
      <c r="I290" s="3"/>
      <c r="J290" s="3"/>
      <c r="K290" s="4" t="str">
        <f>IF(AND(D290="",E290=""),"",IF(E290="",1,IFERROR(INDEX(상품·기준!$C$35:$C$38,MATCH(E290,상품·기준!$A$35:$A$38,0)),"단위 확인")))</f>
        <v/>
      </c>
      <c r="L290" s="4" t="str">
        <f t="shared" si="8"/>
        <v/>
      </c>
      <c r="M290" s="4" t="str">
        <f>IF(COUNTA(A290:J290)=0,"",IF(A290="","날짜 미입력",IF(NOT(ISNUMBER(A290)),"날짜 확인(날짜 형식이 아님)",IF(B290="","구분 미입력",IF(D290="","수량 미입력",IF(NOT(ISNUMBER(D290)),"수량 확인(숫자가 아님)",IF(AND(D290&lt;0,B290&lt;&gt;"조정"),"음수 수량(구분으로 방향 표시)",IF(NOT(ISNUMBER(K290)),"단위 확인",IF(AND(OR(B290="입고",B290="기초"),G290=""),"단가 미입력",IF(OR(A290&lt;상품·기준!$C$14,A290&gt;상품·기준!$C$15),"기간 밖",IF(AND(H290&lt;&gt;"아니오",C290&lt;&gt;"",COUNTIFS($C$7:$C$306,C290,$B$7:$B$306,B290,$F$7:$F$306,F290,$H$7:$H$306,"&lt;&gt;아니오")&gt;1),"중복 의심(같은 문서번호·구분·상태)","정상")))))))))))</f>
        <v/>
      </c>
      <c r="N290" s="15" t="str">
        <f t="shared" si="9"/>
        <v/>
      </c>
    </row>
    <row r="291" spans="1:14">
      <c r="A291" s="7"/>
      <c r="B291" s="3"/>
      <c r="C291" s="3"/>
      <c r="D291" s="3"/>
      <c r="E291" s="3"/>
      <c r="F291" s="3"/>
      <c r="G291" s="6"/>
      <c r="H291" s="3"/>
      <c r="I291" s="3"/>
      <c r="J291" s="3"/>
      <c r="K291" s="4" t="str">
        <f>IF(AND(D291="",E291=""),"",IF(E291="",1,IFERROR(INDEX(상품·기준!$C$35:$C$38,MATCH(E291,상품·기준!$A$35:$A$38,0)),"단위 확인")))</f>
        <v/>
      </c>
      <c r="L291" s="4" t="str">
        <f t="shared" si="8"/>
        <v/>
      </c>
      <c r="M291" s="4" t="str">
        <f>IF(COUNTA(A291:J291)=0,"",IF(A291="","날짜 미입력",IF(NOT(ISNUMBER(A291)),"날짜 확인(날짜 형식이 아님)",IF(B291="","구분 미입력",IF(D291="","수량 미입력",IF(NOT(ISNUMBER(D291)),"수량 확인(숫자가 아님)",IF(AND(D291&lt;0,B291&lt;&gt;"조정"),"음수 수량(구분으로 방향 표시)",IF(NOT(ISNUMBER(K291)),"단위 확인",IF(AND(OR(B291="입고",B291="기초"),G291=""),"단가 미입력",IF(OR(A291&lt;상품·기준!$C$14,A291&gt;상품·기준!$C$15),"기간 밖",IF(AND(H291&lt;&gt;"아니오",C291&lt;&gt;"",COUNTIFS($C$7:$C$306,C291,$B$7:$B$306,B291,$F$7:$F$306,F291,$H$7:$H$306,"&lt;&gt;아니오")&gt;1),"중복 의심(같은 문서번호·구분·상태)","정상")))))))))))</f>
        <v/>
      </c>
      <c r="N291" s="15" t="str">
        <f t="shared" si="9"/>
        <v/>
      </c>
    </row>
    <row r="292" spans="1:14">
      <c r="A292" s="7"/>
      <c r="B292" s="3"/>
      <c r="C292" s="3"/>
      <c r="D292" s="3"/>
      <c r="E292" s="3"/>
      <c r="F292" s="3"/>
      <c r="G292" s="6"/>
      <c r="H292" s="3"/>
      <c r="I292" s="3"/>
      <c r="J292" s="3"/>
      <c r="K292" s="4" t="str">
        <f>IF(AND(D292="",E292=""),"",IF(E292="",1,IFERROR(INDEX(상품·기준!$C$35:$C$38,MATCH(E292,상품·기준!$A$35:$A$38,0)),"단위 확인")))</f>
        <v/>
      </c>
      <c r="L292" s="4" t="str">
        <f t="shared" si="8"/>
        <v/>
      </c>
      <c r="M292" s="4" t="str">
        <f>IF(COUNTA(A292:J292)=0,"",IF(A292="","날짜 미입력",IF(NOT(ISNUMBER(A292)),"날짜 확인(날짜 형식이 아님)",IF(B292="","구분 미입력",IF(D292="","수량 미입력",IF(NOT(ISNUMBER(D292)),"수량 확인(숫자가 아님)",IF(AND(D292&lt;0,B292&lt;&gt;"조정"),"음수 수량(구분으로 방향 표시)",IF(NOT(ISNUMBER(K292)),"단위 확인",IF(AND(OR(B292="입고",B292="기초"),G292=""),"단가 미입력",IF(OR(A292&lt;상품·기준!$C$14,A292&gt;상품·기준!$C$15),"기간 밖",IF(AND(H292&lt;&gt;"아니오",C292&lt;&gt;"",COUNTIFS($C$7:$C$306,C292,$B$7:$B$306,B292,$F$7:$F$306,F292,$H$7:$H$306,"&lt;&gt;아니오")&gt;1),"중복 의심(같은 문서번호·구분·상태)","정상")))))))))))</f>
        <v/>
      </c>
      <c r="N292" s="15" t="str">
        <f t="shared" si="9"/>
        <v/>
      </c>
    </row>
    <row r="293" spans="1:14">
      <c r="A293" s="7"/>
      <c r="B293" s="3"/>
      <c r="C293" s="3"/>
      <c r="D293" s="3"/>
      <c r="E293" s="3"/>
      <c r="F293" s="3"/>
      <c r="G293" s="6"/>
      <c r="H293" s="3"/>
      <c r="I293" s="3"/>
      <c r="J293" s="3"/>
      <c r="K293" s="4" t="str">
        <f>IF(AND(D293="",E293=""),"",IF(E293="",1,IFERROR(INDEX(상품·기준!$C$35:$C$38,MATCH(E293,상품·기준!$A$35:$A$38,0)),"단위 확인")))</f>
        <v/>
      </c>
      <c r="L293" s="4" t="str">
        <f t="shared" si="8"/>
        <v/>
      </c>
      <c r="M293" s="4" t="str">
        <f>IF(COUNTA(A293:J293)=0,"",IF(A293="","날짜 미입력",IF(NOT(ISNUMBER(A293)),"날짜 확인(날짜 형식이 아님)",IF(B293="","구분 미입력",IF(D293="","수량 미입력",IF(NOT(ISNUMBER(D293)),"수량 확인(숫자가 아님)",IF(AND(D293&lt;0,B293&lt;&gt;"조정"),"음수 수량(구분으로 방향 표시)",IF(NOT(ISNUMBER(K293)),"단위 확인",IF(AND(OR(B293="입고",B293="기초"),G293=""),"단가 미입력",IF(OR(A293&lt;상품·기준!$C$14,A293&gt;상품·기준!$C$15),"기간 밖",IF(AND(H293&lt;&gt;"아니오",C293&lt;&gt;"",COUNTIFS($C$7:$C$306,C293,$B$7:$B$306,B293,$F$7:$F$306,F293,$H$7:$H$306,"&lt;&gt;아니오")&gt;1),"중복 의심(같은 문서번호·구분·상태)","정상")))))))))))</f>
        <v/>
      </c>
      <c r="N293" s="15" t="str">
        <f t="shared" si="9"/>
        <v/>
      </c>
    </row>
    <row r="294" spans="1:14">
      <c r="A294" s="7"/>
      <c r="B294" s="3"/>
      <c r="C294" s="3"/>
      <c r="D294" s="3"/>
      <c r="E294" s="3"/>
      <c r="F294" s="3"/>
      <c r="G294" s="6"/>
      <c r="H294" s="3"/>
      <c r="I294" s="3"/>
      <c r="J294" s="3"/>
      <c r="K294" s="4" t="str">
        <f>IF(AND(D294="",E294=""),"",IF(E294="",1,IFERROR(INDEX(상품·기준!$C$35:$C$38,MATCH(E294,상품·기준!$A$35:$A$38,0)),"단위 확인")))</f>
        <v/>
      </c>
      <c r="L294" s="4" t="str">
        <f t="shared" si="8"/>
        <v/>
      </c>
      <c r="M294" s="4" t="str">
        <f>IF(COUNTA(A294:J294)=0,"",IF(A294="","날짜 미입력",IF(NOT(ISNUMBER(A294)),"날짜 확인(날짜 형식이 아님)",IF(B294="","구분 미입력",IF(D294="","수량 미입력",IF(NOT(ISNUMBER(D294)),"수량 확인(숫자가 아님)",IF(AND(D294&lt;0,B294&lt;&gt;"조정"),"음수 수량(구분으로 방향 표시)",IF(NOT(ISNUMBER(K294)),"단위 확인",IF(AND(OR(B294="입고",B294="기초"),G294=""),"단가 미입력",IF(OR(A294&lt;상품·기준!$C$14,A294&gt;상품·기준!$C$15),"기간 밖",IF(AND(H294&lt;&gt;"아니오",C294&lt;&gt;"",COUNTIFS($C$7:$C$306,C294,$B$7:$B$306,B294,$F$7:$F$306,F294,$H$7:$H$306,"&lt;&gt;아니오")&gt;1),"중복 의심(같은 문서번호·구분·상태)","정상")))))))))))</f>
        <v/>
      </c>
      <c r="N294" s="15" t="str">
        <f t="shared" si="9"/>
        <v/>
      </c>
    </row>
    <row r="295" spans="1:14">
      <c r="A295" s="7"/>
      <c r="B295" s="3"/>
      <c r="C295" s="3"/>
      <c r="D295" s="3"/>
      <c r="E295" s="3"/>
      <c r="F295" s="3"/>
      <c r="G295" s="6"/>
      <c r="H295" s="3"/>
      <c r="I295" s="3"/>
      <c r="J295" s="3"/>
      <c r="K295" s="4" t="str">
        <f>IF(AND(D295="",E295=""),"",IF(E295="",1,IFERROR(INDEX(상품·기준!$C$35:$C$38,MATCH(E295,상품·기준!$A$35:$A$38,0)),"단위 확인")))</f>
        <v/>
      </c>
      <c r="L295" s="4" t="str">
        <f t="shared" si="8"/>
        <v/>
      </c>
      <c r="M295" s="4" t="str">
        <f>IF(COUNTA(A295:J295)=0,"",IF(A295="","날짜 미입력",IF(NOT(ISNUMBER(A295)),"날짜 확인(날짜 형식이 아님)",IF(B295="","구분 미입력",IF(D295="","수량 미입력",IF(NOT(ISNUMBER(D295)),"수량 확인(숫자가 아님)",IF(AND(D295&lt;0,B295&lt;&gt;"조정"),"음수 수량(구분으로 방향 표시)",IF(NOT(ISNUMBER(K295)),"단위 확인",IF(AND(OR(B295="입고",B295="기초"),G295=""),"단가 미입력",IF(OR(A295&lt;상품·기준!$C$14,A295&gt;상품·기준!$C$15),"기간 밖",IF(AND(H295&lt;&gt;"아니오",C295&lt;&gt;"",COUNTIFS($C$7:$C$306,C295,$B$7:$B$306,B295,$F$7:$F$306,F295,$H$7:$H$306,"&lt;&gt;아니오")&gt;1),"중복 의심(같은 문서번호·구분·상태)","정상")))))))))))</f>
        <v/>
      </c>
      <c r="N295" s="15" t="str">
        <f t="shared" si="9"/>
        <v/>
      </c>
    </row>
    <row r="296" spans="1:14">
      <c r="A296" s="7"/>
      <c r="B296" s="3"/>
      <c r="C296" s="3"/>
      <c r="D296" s="3"/>
      <c r="E296" s="3"/>
      <c r="F296" s="3"/>
      <c r="G296" s="6"/>
      <c r="H296" s="3"/>
      <c r="I296" s="3"/>
      <c r="J296" s="3"/>
      <c r="K296" s="4" t="str">
        <f>IF(AND(D296="",E296=""),"",IF(E296="",1,IFERROR(INDEX(상품·기준!$C$35:$C$38,MATCH(E296,상품·기준!$A$35:$A$38,0)),"단위 확인")))</f>
        <v/>
      </c>
      <c r="L296" s="4" t="str">
        <f t="shared" si="8"/>
        <v/>
      </c>
      <c r="M296" s="4" t="str">
        <f>IF(COUNTA(A296:J296)=0,"",IF(A296="","날짜 미입력",IF(NOT(ISNUMBER(A296)),"날짜 확인(날짜 형식이 아님)",IF(B296="","구분 미입력",IF(D296="","수량 미입력",IF(NOT(ISNUMBER(D296)),"수량 확인(숫자가 아님)",IF(AND(D296&lt;0,B296&lt;&gt;"조정"),"음수 수량(구분으로 방향 표시)",IF(NOT(ISNUMBER(K296)),"단위 확인",IF(AND(OR(B296="입고",B296="기초"),G296=""),"단가 미입력",IF(OR(A296&lt;상품·기준!$C$14,A296&gt;상품·기준!$C$15),"기간 밖",IF(AND(H296&lt;&gt;"아니오",C296&lt;&gt;"",COUNTIFS($C$7:$C$306,C296,$B$7:$B$306,B296,$F$7:$F$306,F296,$H$7:$H$306,"&lt;&gt;아니오")&gt;1),"중복 의심(같은 문서번호·구분·상태)","정상")))))))))))</f>
        <v/>
      </c>
      <c r="N296" s="15" t="str">
        <f t="shared" si="9"/>
        <v/>
      </c>
    </row>
    <row r="297" spans="1:14">
      <c r="A297" s="7"/>
      <c r="B297" s="3"/>
      <c r="C297" s="3"/>
      <c r="D297" s="3"/>
      <c r="E297" s="3"/>
      <c r="F297" s="3"/>
      <c r="G297" s="6"/>
      <c r="H297" s="3"/>
      <c r="I297" s="3"/>
      <c r="J297" s="3"/>
      <c r="K297" s="4" t="str">
        <f>IF(AND(D297="",E297=""),"",IF(E297="",1,IFERROR(INDEX(상품·기준!$C$35:$C$38,MATCH(E297,상품·기준!$A$35:$A$38,0)),"단위 확인")))</f>
        <v/>
      </c>
      <c r="L297" s="4" t="str">
        <f t="shared" si="8"/>
        <v/>
      </c>
      <c r="M297" s="4" t="str">
        <f>IF(COUNTA(A297:J297)=0,"",IF(A297="","날짜 미입력",IF(NOT(ISNUMBER(A297)),"날짜 확인(날짜 형식이 아님)",IF(B297="","구분 미입력",IF(D297="","수량 미입력",IF(NOT(ISNUMBER(D297)),"수량 확인(숫자가 아님)",IF(AND(D297&lt;0,B297&lt;&gt;"조정"),"음수 수량(구분으로 방향 표시)",IF(NOT(ISNUMBER(K297)),"단위 확인",IF(AND(OR(B297="입고",B297="기초"),G297=""),"단가 미입력",IF(OR(A297&lt;상품·기준!$C$14,A297&gt;상품·기준!$C$15),"기간 밖",IF(AND(H297&lt;&gt;"아니오",C297&lt;&gt;"",COUNTIFS($C$7:$C$306,C297,$B$7:$B$306,B297,$F$7:$F$306,F297,$H$7:$H$306,"&lt;&gt;아니오")&gt;1),"중복 의심(같은 문서번호·구분·상태)","정상")))))))))))</f>
        <v/>
      </c>
      <c r="N297" s="15" t="str">
        <f t="shared" si="9"/>
        <v/>
      </c>
    </row>
    <row r="298" spans="1:14">
      <c r="A298" s="7"/>
      <c r="B298" s="3"/>
      <c r="C298" s="3"/>
      <c r="D298" s="3"/>
      <c r="E298" s="3"/>
      <c r="F298" s="3"/>
      <c r="G298" s="6"/>
      <c r="H298" s="3"/>
      <c r="I298" s="3"/>
      <c r="J298" s="3"/>
      <c r="K298" s="4" t="str">
        <f>IF(AND(D298="",E298=""),"",IF(E298="",1,IFERROR(INDEX(상품·기준!$C$35:$C$38,MATCH(E298,상품·기준!$A$35:$A$38,0)),"단위 확인")))</f>
        <v/>
      </c>
      <c r="L298" s="4" t="str">
        <f t="shared" si="8"/>
        <v/>
      </c>
      <c r="M298" s="4" t="str">
        <f>IF(COUNTA(A298:J298)=0,"",IF(A298="","날짜 미입력",IF(NOT(ISNUMBER(A298)),"날짜 확인(날짜 형식이 아님)",IF(B298="","구분 미입력",IF(D298="","수량 미입력",IF(NOT(ISNUMBER(D298)),"수량 확인(숫자가 아님)",IF(AND(D298&lt;0,B298&lt;&gt;"조정"),"음수 수량(구분으로 방향 표시)",IF(NOT(ISNUMBER(K298)),"단위 확인",IF(AND(OR(B298="입고",B298="기초"),G298=""),"단가 미입력",IF(OR(A298&lt;상품·기준!$C$14,A298&gt;상품·기준!$C$15),"기간 밖",IF(AND(H298&lt;&gt;"아니오",C298&lt;&gt;"",COUNTIFS($C$7:$C$306,C298,$B$7:$B$306,B298,$F$7:$F$306,F298,$H$7:$H$306,"&lt;&gt;아니오")&gt;1),"중복 의심(같은 문서번호·구분·상태)","정상")))))))))))</f>
        <v/>
      </c>
      <c r="N298" s="15" t="str">
        <f t="shared" si="9"/>
        <v/>
      </c>
    </row>
    <row r="299" spans="1:14">
      <c r="A299" s="7"/>
      <c r="B299" s="3"/>
      <c r="C299" s="3"/>
      <c r="D299" s="3"/>
      <c r="E299" s="3"/>
      <c r="F299" s="3"/>
      <c r="G299" s="6"/>
      <c r="H299" s="3"/>
      <c r="I299" s="3"/>
      <c r="J299" s="3"/>
      <c r="K299" s="4" t="str">
        <f>IF(AND(D299="",E299=""),"",IF(E299="",1,IFERROR(INDEX(상품·기준!$C$35:$C$38,MATCH(E299,상품·기준!$A$35:$A$38,0)),"단위 확인")))</f>
        <v/>
      </c>
      <c r="L299" s="4" t="str">
        <f t="shared" si="8"/>
        <v/>
      </c>
      <c r="M299" s="4" t="str">
        <f>IF(COUNTA(A299:J299)=0,"",IF(A299="","날짜 미입력",IF(NOT(ISNUMBER(A299)),"날짜 확인(날짜 형식이 아님)",IF(B299="","구분 미입력",IF(D299="","수량 미입력",IF(NOT(ISNUMBER(D299)),"수량 확인(숫자가 아님)",IF(AND(D299&lt;0,B299&lt;&gt;"조정"),"음수 수량(구분으로 방향 표시)",IF(NOT(ISNUMBER(K299)),"단위 확인",IF(AND(OR(B299="입고",B299="기초"),G299=""),"단가 미입력",IF(OR(A299&lt;상품·기준!$C$14,A299&gt;상품·기준!$C$15),"기간 밖",IF(AND(H299&lt;&gt;"아니오",C299&lt;&gt;"",COUNTIFS($C$7:$C$306,C299,$B$7:$B$306,B299,$F$7:$F$306,F299,$H$7:$H$306,"&lt;&gt;아니오")&gt;1),"중복 의심(같은 문서번호·구분·상태)","정상")))))))))))</f>
        <v/>
      </c>
      <c r="N299" s="15" t="str">
        <f t="shared" si="9"/>
        <v/>
      </c>
    </row>
    <row r="300" spans="1:14">
      <c r="A300" s="7"/>
      <c r="B300" s="3"/>
      <c r="C300" s="3"/>
      <c r="D300" s="3"/>
      <c r="E300" s="3"/>
      <c r="F300" s="3"/>
      <c r="G300" s="6"/>
      <c r="H300" s="3"/>
      <c r="I300" s="3"/>
      <c r="J300" s="3"/>
      <c r="K300" s="4" t="str">
        <f>IF(AND(D300="",E300=""),"",IF(E300="",1,IFERROR(INDEX(상품·기준!$C$35:$C$38,MATCH(E300,상품·기준!$A$35:$A$38,0)),"단위 확인")))</f>
        <v/>
      </c>
      <c r="L300" s="4" t="str">
        <f t="shared" si="8"/>
        <v/>
      </c>
      <c r="M300" s="4" t="str">
        <f>IF(COUNTA(A300:J300)=0,"",IF(A300="","날짜 미입력",IF(NOT(ISNUMBER(A300)),"날짜 확인(날짜 형식이 아님)",IF(B300="","구분 미입력",IF(D300="","수량 미입력",IF(NOT(ISNUMBER(D300)),"수량 확인(숫자가 아님)",IF(AND(D300&lt;0,B300&lt;&gt;"조정"),"음수 수량(구분으로 방향 표시)",IF(NOT(ISNUMBER(K300)),"단위 확인",IF(AND(OR(B300="입고",B300="기초"),G300=""),"단가 미입력",IF(OR(A300&lt;상품·기준!$C$14,A300&gt;상품·기준!$C$15),"기간 밖",IF(AND(H300&lt;&gt;"아니오",C300&lt;&gt;"",COUNTIFS($C$7:$C$306,C300,$B$7:$B$306,B300,$F$7:$F$306,F300,$H$7:$H$306,"&lt;&gt;아니오")&gt;1),"중복 의심(같은 문서번호·구분·상태)","정상")))))))))))</f>
        <v/>
      </c>
      <c r="N300" s="15" t="str">
        <f t="shared" si="9"/>
        <v/>
      </c>
    </row>
    <row r="301" spans="1:14">
      <c r="A301" s="7"/>
      <c r="B301" s="3"/>
      <c r="C301" s="3"/>
      <c r="D301" s="3"/>
      <c r="E301" s="3"/>
      <c r="F301" s="3"/>
      <c r="G301" s="6"/>
      <c r="H301" s="3"/>
      <c r="I301" s="3"/>
      <c r="J301" s="3"/>
      <c r="K301" s="4" t="str">
        <f>IF(AND(D301="",E301=""),"",IF(E301="",1,IFERROR(INDEX(상품·기준!$C$35:$C$38,MATCH(E301,상품·기준!$A$35:$A$38,0)),"단위 확인")))</f>
        <v/>
      </c>
      <c r="L301" s="4" t="str">
        <f t="shared" si="8"/>
        <v/>
      </c>
      <c r="M301" s="4" t="str">
        <f>IF(COUNTA(A301:J301)=0,"",IF(A301="","날짜 미입력",IF(NOT(ISNUMBER(A301)),"날짜 확인(날짜 형식이 아님)",IF(B301="","구분 미입력",IF(D301="","수량 미입력",IF(NOT(ISNUMBER(D301)),"수량 확인(숫자가 아님)",IF(AND(D301&lt;0,B301&lt;&gt;"조정"),"음수 수량(구분으로 방향 표시)",IF(NOT(ISNUMBER(K301)),"단위 확인",IF(AND(OR(B301="입고",B301="기초"),G301=""),"단가 미입력",IF(OR(A301&lt;상품·기준!$C$14,A301&gt;상품·기준!$C$15),"기간 밖",IF(AND(H301&lt;&gt;"아니오",C301&lt;&gt;"",COUNTIFS($C$7:$C$306,C301,$B$7:$B$306,B301,$F$7:$F$306,F301,$H$7:$H$306,"&lt;&gt;아니오")&gt;1),"중복 의심(같은 문서번호·구분·상태)","정상")))))))))))</f>
        <v/>
      </c>
      <c r="N301" s="15" t="str">
        <f t="shared" si="9"/>
        <v/>
      </c>
    </row>
    <row r="302" spans="1:14">
      <c r="A302" s="7"/>
      <c r="B302" s="3"/>
      <c r="C302" s="3"/>
      <c r="D302" s="3"/>
      <c r="E302" s="3"/>
      <c r="F302" s="3"/>
      <c r="G302" s="6"/>
      <c r="H302" s="3"/>
      <c r="I302" s="3"/>
      <c r="J302" s="3"/>
      <c r="K302" s="4" t="str">
        <f>IF(AND(D302="",E302=""),"",IF(E302="",1,IFERROR(INDEX(상품·기준!$C$35:$C$38,MATCH(E302,상품·기준!$A$35:$A$38,0)),"단위 확인")))</f>
        <v/>
      </c>
      <c r="L302" s="4" t="str">
        <f t="shared" si="8"/>
        <v/>
      </c>
      <c r="M302" s="4" t="str">
        <f>IF(COUNTA(A302:J302)=0,"",IF(A302="","날짜 미입력",IF(NOT(ISNUMBER(A302)),"날짜 확인(날짜 형식이 아님)",IF(B302="","구분 미입력",IF(D302="","수량 미입력",IF(NOT(ISNUMBER(D302)),"수량 확인(숫자가 아님)",IF(AND(D302&lt;0,B302&lt;&gt;"조정"),"음수 수량(구분으로 방향 표시)",IF(NOT(ISNUMBER(K302)),"단위 확인",IF(AND(OR(B302="입고",B302="기초"),G302=""),"단가 미입력",IF(OR(A302&lt;상품·기준!$C$14,A302&gt;상품·기준!$C$15),"기간 밖",IF(AND(H302&lt;&gt;"아니오",C302&lt;&gt;"",COUNTIFS($C$7:$C$306,C302,$B$7:$B$306,B302,$F$7:$F$306,F302,$H$7:$H$306,"&lt;&gt;아니오")&gt;1),"중복 의심(같은 문서번호·구분·상태)","정상")))))))))))</f>
        <v/>
      </c>
      <c r="N302" s="15" t="str">
        <f t="shared" si="9"/>
        <v/>
      </c>
    </row>
    <row r="303" spans="1:14">
      <c r="A303" s="7"/>
      <c r="B303" s="3"/>
      <c r="C303" s="3"/>
      <c r="D303" s="3"/>
      <c r="E303" s="3"/>
      <c r="F303" s="3"/>
      <c r="G303" s="6"/>
      <c r="H303" s="3"/>
      <c r="I303" s="3"/>
      <c r="J303" s="3"/>
      <c r="K303" s="4" t="str">
        <f>IF(AND(D303="",E303=""),"",IF(E303="",1,IFERROR(INDEX(상품·기준!$C$35:$C$38,MATCH(E303,상품·기준!$A$35:$A$38,0)),"단위 확인")))</f>
        <v/>
      </c>
      <c r="L303" s="4" t="str">
        <f t="shared" si="8"/>
        <v/>
      </c>
      <c r="M303" s="4" t="str">
        <f>IF(COUNTA(A303:J303)=0,"",IF(A303="","날짜 미입력",IF(NOT(ISNUMBER(A303)),"날짜 확인(날짜 형식이 아님)",IF(B303="","구분 미입력",IF(D303="","수량 미입력",IF(NOT(ISNUMBER(D303)),"수량 확인(숫자가 아님)",IF(AND(D303&lt;0,B303&lt;&gt;"조정"),"음수 수량(구분으로 방향 표시)",IF(NOT(ISNUMBER(K303)),"단위 확인",IF(AND(OR(B303="입고",B303="기초"),G303=""),"단가 미입력",IF(OR(A303&lt;상품·기준!$C$14,A303&gt;상품·기준!$C$15),"기간 밖",IF(AND(H303&lt;&gt;"아니오",C303&lt;&gt;"",COUNTIFS($C$7:$C$306,C303,$B$7:$B$306,B303,$F$7:$F$306,F303,$H$7:$H$306,"&lt;&gt;아니오")&gt;1),"중복 의심(같은 문서번호·구분·상태)","정상")))))))))))</f>
        <v/>
      </c>
      <c r="N303" s="15" t="str">
        <f t="shared" si="9"/>
        <v/>
      </c>
    </row>
    <row r="304" spans="1:14">
      <c r="A304" s="7"/>
      <c r="B304" s="3"/>
      <c r="C304" s="3"/>
      <c r="D304" s="3"/>
      <c r="E304" s="3"/>
      <c r="F304" s="3"/>
      <c r="G304" s="6"/>
      <c r="H304" s="3"/>
      <c r="I304" s="3"/>
      <c r="J304" s="3"/>
      <c r="K304" s="4" t="str">
        <f>IF(AND(D304="",E304=""),"",IF(E304="",1,IFERROR(INDEX(상품·기준!$C$35:$C$38,MATCH(E304,상품·기준!$A$35:$A$38,0)),"단위 확인")))</f>
        <v/>
      </c>
      <c r="L304" s="4" t="str">
        <f t="shared" si="8"/>
        <v/>
      </c>
      <c r="M304" s="4" t="str">
        <f>IF(COUNTA(A304:J304)=0,"",IF(A304="","날짜 미입력",IF(NOT(ISNUMBER(A304)),"날짜 확인(날짜 형식이 아님)",IF(B304="","구분 미입력",IF(D304="","수량 미입력",IF(NOT(ISNUMBER(D304)),"수량 확인(숫자가 아님)",IF(AND(D304&lt;0,B304&lt;&gt;"조정"),"음수 수량(구분으로 방향 표시)",IF(NOT(ISNUMBER(K304)),"단위 확인",IF(AND(OR(B304="입고",B304="기초"),G304=""),"단가 미입력",IF(OR(A304&lt;상품·기준!$C$14,A304&gt;상품·기준!$C$15),"기간 밖",IF(AND(H304&lt;&gt;"아니오",C304&lt;&gt;"",COUNTIFS($C$7:$C$306,C304,$B$7:$B$306,B304,$F$7:$F$306,F304,$H$7:$H$306,"&lt;&gt;아니오")&gt;1),"중복 의심(같은 문서번호·구분·상태)","정상")))))))))))</f>
        <v/>
      </c>
      <c r="N304" s="15" t="str">
        <f t="shared" si="9"/>
        <v/>
      </c>
    </row>
    <row r="305" spans="1:14">
      <c r="A305" s="7"/>
      <c r="B305" s="3"/>
      <c r="C305" s="3"/>
      <c r="D305" s="3"/>
      <c r="E305" s="3"/>
      <c r="F305" s="3"/>
      <c r="G305" s="6"/>
      <c r="H305" s="3"/>
      <c r="I305" s="3"/>
      <c r="J305" s="3"/>
      <c r="K305" s="4" t="str">
        <f>IF(AND(D305="",E305=""),"",IF(E305="",1,IFERROR(INDEX(상품·기준!$C$35:$C$38,MATCH(E305,상품·기준!$A$35:$A$38,0)),"단위 확인")))</f>
        <v/>
      </c>
      <c r="L305" s="4" t="str">
        <f t="shared" si="8"/>
        <v/>
      </c>
      <c r="M305" s="4" t="str">
        <f>IF(COUNTA(A305:J305)=0,"",IF(A305="","날짜 미입력",IF(NOT(ISNUMBER(A305)),"날짜 확인(날짜 형식이 아님)",IF(B305="","구분 미입력",IF(D305="","수량 미입력",IF(NOT(ISNUMBER(D305)),"수량 확인(숫자가 아님)",IF(AND(D305&lt;0,B305&lt;&gt;"조정"),"음수 수량(구분으로 방향 표시)",IF(NOT(ISNUMBER(K305)),"단위 확인",IF(AND(OR(B305="입고",B305="기초"),G305=""),"단가 미입력",IF(OR(A305&lt;상품·기준!$C$14,A305&gt;상품·기준!$C$15),"기간 밖",IF(AND(H305&lt;&gt;"아니오",C305&lt;&gt;"",COUNTIFS($C$7:$C$306,C305,$B$7:$B$306,B305,$F$7:$F$306,F305,$H$7:$H$306,"&lt;&gt;아니오")&gt;1),"중복 의심(같은 문서번호·구분·상태)","정상")))))))))))</f>
        <v/>
      </c>
      <c r="N305" s="15" t="str">
        <f t="shared" si="9"/>
        <v/>
      </c>
    </row>
    <row r="306" spans="1:14">
      <c r="A306" s="7"/>
      <c r="B306" s="3"/>
      <c r="C306" s="3"/>
      <c r="D306" s="3"/>
      <c r="E306" s="3"/>
      <c r="F306" s="3"/>
      <c r="G306" s="6"/>
      <c r="H306" s="3"/>
      <c r="I306" s="3"/>
      <c r="J306" s="3"/>
      <c r="K306" s="4" t="str">
        <f>IF(AND(D306="",E306=""),"",IF(E306="",1,IFERROR(INDEX(상품·기준!$C$35:$C$38,MATCH(E306,상품·기준!$A$35:$A$38,0)),"단위 확인")))</f>
        <v/>
      </c>
      <c r="L306" s="4" t="str">
        <f t="shared" si="8"/>
        <v/>
      </c>
      <c r="M306" s="4" t="str">
        <f>IF(COUNTA(A306:J306)=0,"",IF(A306="","날짜 미입력",IF(NOT(ISNUMBER(A306)),"날짜 확인(날짜 형식이 아님)",IF(B306="","구분 미입력",IF(D306="","수량 미입력",IF(NOT(ISNUMBER(D306)),"수량 확인(숫자가 아님)",IF(AND(D306&lt;0,B306&lt;&gt;"조정"),"음수 수량(구분으로 방향 표시)",IF(NOT(ISNUMBER(K306)),"단위 확인",IF(AND(OR(B306="입고",B306="기초"),G306=""),"단가 미입력",IF(OR(A306&lt;상품·기준!$C$14,A306&gt;상품·기준!$C$15),"기간 밖",IF(AND(H306&lt;&gt;"아니오",C306&lt;&gt;"",COUNTIFS($C$7:$C$306,C306,$B$7:$B$306,B306,$F$7:$F$306,F306,$H$7:$H$306,"&lt;&gt;아니오")&gt;1),"중복 의심(같은 문서번호·구분·상태)","정상")))))))))))</f>
        <v/>
      </c>
      <c r="N306" s="15" t="str">
        <f t="shared" si="9"/>
        <v/>
      </c>
    </row>
  </sheetData>
  <mergeCells count="2">
    <mergeCell ref="A2:M2"/>
    <mergeCell ref="A1:M1"/>
  </mergeCells>
  <phoneticPr fontId="11" type="noConversion"/>
  <conditionalFormatting sqref="M7:M306">
    <cfRule type="expression" dxfId="21" priority="1">
      <formula>LEFT(M7,2)="정상"</formula>
    </cfRule>
    <cfRule type="expression" dxfId="20" priority="2">
      <formula>AND(LEN(M7)&gt;0,LEFT(M7,2)&lt;&gt;"정상")</formula>
    </cfRule>
  </conditionalFormatting>
  <dataValidations count="4">
    <dataValidation type="list" allowBlank="1" showErrorMessage="1" errorTitle="목록에서 선택" error="목록에 있는 값을 선택하세요." sqref="B7:B306" xr:uid="{00000000-0002-0000-0200-000000000000}">
      <formula1>"기초,입고,판매출고,반품,폐기,조정"</formula1>
    </dataValidation>
    <dataValidation type="list" allowBlank="1" showErrorMessage="1" errorTitle="목록에서 선택" error="목록에 있는 값을 선택하세요." sqref="F7:F306" xr:uid="{00000000-0002-0000-0200-000002000000}">
      <formula1>"판매 가능,검수 중,판매 불가"</formula1>
    </dataValidation>
    <dataValidation type="list" allowBlank="1" showErrorMessage="1" errorTitle="목록에서 선택" error="목록에 있는 값을 선택하세요." sqref="H7:H306" xr:uid="{00000000-0002-0000-0200-000003000000}">
      <formula1>"예,아니오"</formula1>
    </dataValidation>
    <dataValidation type="list" allowBlank="1" showErrorMessage="1" errorTitle="목록에서 선택" error="목록에 있는 값을 선택하세요." sqref="I7:I306" xr:uid="{00000000-0002-0000-0200-000004000000}">
      <formula1>"원본,정정추가"</formula1>
    </dataValidation>
  </dataValidations>
  <pageMargins left="0.75" right="0.75" top="1" bottom="1" header="0.5" footer="0.5"/>
  <pageSetup paperSize="9" fitToHeight="0" orientation="landscape"/>
  <extLst>
    <ext xmlns:x14="http://schemas.microsoft.com/office/spreadsheetml/2009/9/main" uri="{CCE6A557-97BC-4b89-ADB6-D9C93CAAB3DF}">
      <x14:dataValidations xmlns:xm="http://schemas.microsoft.com/office/excel/2006/main" count="1">
        <x14:dataValidation type="list" allowBlank="1" showErrorMessage="1" errorTitle="목록에서 선택" error="목록에 있는 값을 선택하세요." xr:uid="{00000000-0002-0000-0200-000001000000}">
          <x14:formula1>
            <xm:f>상품·기준!$A$35:$A$38</xm:f>
          </x14:formula1>
          <xm:sqref>E7:E306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107"/>
  <sheetViews>
    <sheetView workbookViewId="0">
      <pane ySplit="3" topLeftCell="A4" activePane="bottomLeft" state="frozen"/>
      <selection pane="bottomLeft"/>
    </sheetView>
  </sheetViews>
  <sheetFormatPr baseColWidth="10" defaultColWidth="8.83203125" defaultRowHeight="17"/>
  <cols>
    <col min="1" max="1" width="36" customWidth="1"/>
    <col min="2" max="2" width="24" customWidth="1"/>
    <col min="3" max="3" width="18" customWidth="1"/>
    <col min="4" max="5" width="22" customWidth="1"/>
    <col min="6" max="6" width="20" customWidth="1"/>
    <col min="7" max="7" width="30" customWidth="1"/>
    <col min="8" max="8" width="44" customWidth="1"/>
    <col min="9" max="9" width="20" customWidth="1"/>
    <col min="10" max="10" width="16" customWidth="1"/>
  </cols>
  <sheetData>
    <row r="1" spans="1:9" ht="20">
      <c r="A1" s="42" t="s">
        <v>127</v>
      </c>
      <c r="B1" s="40"/>
      <c r="C1" s="40"/>
      <c r="D1" s="40"/>
      <c r="E1" s="40"/>
      <c r="F1" s="40"/>
      <c r="G1" s="40"/>
      <c r="H1" s="40"/>
      <c r="I1" s="40"/>
    </row>
    <row r="2" spans="1:9" ht="48" customHeight="1">
      <c r="A2" s="39" t="s">
        <v>128</v>
      </c>
      <c r="B2" s="40"/>
      <c r="C2" s="40"/>
      <c r="D2" s="40"/>
      <c r="E2" s="40"/>
      <c r="F2" s="40"/>
      <c r="G2" s="40"/>
      <c r="H2" s="40"/>
      <c r="I2" s="40"/>
    </row>
    <row r="4" spans="1:9">
      <c r="A4" s="41" t="s">
        <v>129</v>
      </c>
      <c r="B4" s="40"/>
      <c r="C4" s="40"/>
      <c r="D4" s="40"/>
      <c r="E4" s="40"/>
      <c r="F4" s="40"/>
      <c r="G4" s="40"/>
      <c r="H4" s="40"/>
      <c r="I4" s="40"/>
    </row>
    <row r="5" spans="1:9">
      <c r="A5" s="9" t="s">
        <v>130</v>
      </c>
      <c r="B5" s="9" t="s">
        <v>118</v>
      </c>
      <c r="C5" s="9" t="s">
        <v>131</v>
      </c>
      <c r="D5" s="9" t="s">
        <v>132</v>
      </c>
      <c r="E5" s="9" t="s">
        <v>133</v>
      </c>
      <c r="F5" s="9" t="s">
        <v>134</v>
      </c>
      <c r="G5" s="9" t="s">
        <v>135</v>
      </c>
      <c r="H5" s="9" t="s">
        <v>136</v>
      </c>
    </row>
    <row r="6" spans="1:9">
      <c r="A6" s="3"/>
      <c r="B6" s="3"/>
      <c r="C6" s="6"/>
      <c r="D6" s="6"/>
      <c r="E6" s="16" t="str">
        <f t="shared" ref="E6:E13" si="0">IF(AND(ISNUMBER(C6),ISNUMBER(D6)),D6-C6,"")</f>
        <v/>
      </c>
      <c r="F6" s="6"/>
      <c r="G6" s="17"/>
      <c r="H6" s="4" t="str">
        <f t="shared" ref="H6:H13" si="1">IF(AND(A6="",F6=""),"",IF(NOT(ISNUMBER(F6)),"확정 수량 미입력",IF(F6&lt;0,"음수 수량",IF(AND(ISNUMBER(C6),ISNUMBER(D6),C6&lt;&gt;D6),IF(G6="","두 번 센 값이 다름: 이유를 메모","정상(다시 센 값이 달랐고 메모 있음)"),"정상"))))</f>
        <v/>
      </c>
    </row>
    <row r="7" spans="1:9">
      <c r="A7" s="3"/>
      <c r="B7" s="3"/>
      <c r="C7" s="6"/>
      <c r="D7" s="6"/>
      <c r="E7" s="16" t="str">
        <f t="shared" si="0"/>
        <v/>
      </c>
      <c r="F7" s="6"/>
      <c r="G7" s="17"/>
      <c r="H7" s="4" t="str">
        <f t="shared" si="1"/>
        <v/>
      </c>
    </row>
    <row r="8" spans="1:9">
      <c r="A8" s="3"/>
      <c r="B8" s="3"/>
      <c r="C8" s="6"/>
      <c r="D8" s="6"/>
      <c r="E8" s="16" t="str">
        <f t="shared" si="0"/>
        <v/>
      </c>
      <c r="F8" s="6"/>
      <c r="G8" s="17"/>
      <c r="H8" s="4" t="str">
        <f t="shared" si="1"/>
        <v/>
      </c>
    </row>
    <row r="9" spans="1:9">
      <c r="A9" s="3"/>
      <c r="B9" s="3"/>
      <c r="C9" s="6"/>
      <c r="D9" s="6"/>
      <c r="E9" s="16" t="str">
        <f t="shared" si="0"/>
        <v/>
      </c>
      <c r="F9" s="6"/>
      <c r="G9" s="17"/>
      <c r="H9" s="4" t="str">
        <f t="shared" si="1"/>
        <v/>
      </c>
    </row>
    <row r="10" spans="1:9">
      <c r="A10" s="3"/>
      <c r="B10" s="3"/>
      <c r="C10" s="6"/>
      <c r="D10" s="6"/>
      <c r="E10" s="16" t="str">
        <f t="shared" si="0"/>
        <v/>
      </c>
      <c r="F10" s="6"/>
      <c r="G10" s="17"/>
      <c r="H10" s="4" t="str">
        <f t="shared" si="1"/>
        <v/>
      </c>
    </row>
    <row r="11" spans="1:9">
      <c r="A11" s="3"/>
      <c r="B11" s="3"/>
      <c r="C11" s="6"/>
      <c r="D11" s="6"/>
      <c r="E11" s="16" t="str">
        <f t="shared" si="0"/>
        <v/>
      </c>
      <c r="F11" s="6"/>
      <c r="G11" s="17"/>
      <c r="H11" s="4" t="str">
        <f t="shared" si="1"/>
        <v/>
      </c>
    </row>
    <row r="12" spans="1:9">
      <c r="A12" s="3"/>
      <c r="B12" s="3"/>
      <c r="C12" s="6"/>
      <c r="D12" s="6"/>
      <c r="E12" s="16" t="str">
        <f t="shared" si="0"/>
        <v/>
      </c>
      <c r="F12" s="6"/>
      <c r="G12" s="17"/>
      <c r="H12" s="4" t="str">
        <f t="shared" si="1"/>
        <v/>
      </c>
    </row>
    <row r="13" spans="1:9">
      <c r="A13" s="3"/>
      <c r="B13" s="3"/>
      <c r="C13" s="6"/>
      <c r="D13" s="6"/>
      <c r="E13" s="16" t="str">
        <f t="shared" si="0"/>
        <v/>
      </c>
      <c r="F13" s="6"/>
      <c r="G13" s="17"/>
      <c r="H13" s="4" t="str">
        <f t="shared" si="1"/>
        <v/>
      </c>
    </row>
    <row r="14" spans="1:9">
      <c r="A14" s="1" t="s">
        <v>137</v>
      </c>
      <c r="F14" s="18" t="str">
        <f>IF(COUNT($F$6:$F$13)=0,"미입력",SUMIFS($F$6:$F$13,$B$6:$B$13,"판매 가능"))</f>
        <v>미입력</v>
      </c>
    </row>
    <row r="15" spans="1:9">
      <c r="A15" s="1" t="s">
        <v>138</v>
      </c>
      <c r="F15" s="18" t="str">
        <f>IF(COUNT($F$6:$F$13)=0,"미입력",SUMIFS($F$6:$F$13,$B$6:$B$13,"검수 중"))</f>
        <v>미입력</v>
      </c>
    </row>
    <row r="16" spans="1:9">
      <c r="A16" s="1" t="s">
        <v>139</v>
      </c>
      <c r="F16" s="18" t="str">
        <f>IF(COUNT($F$6:$F$13)=0,"미입력",SUMIFS($F$6:$F$13,$B$6:$B$13,"판매 불가"))</f>
        <v>미입력</v>
      </c>
    </row>
    <row r="17" spans="1:9">
      <c r="A17" s="1" t="s">
        <v>140</v>
      </c>
      <c r="F17" s="18" t="str">
        <f>IF(COUNT($F$6:$F$13)=0,"미입력",SUM($F$6:$F$13))</f>
        <v>미입력</v>
      </c>
    </row>
    <row r="19" spans="1:9">
      <c r="A19" s="41" t="s">
        <v>141</v>
      </c>
      <c r="B19" s="40"/>
      <c r="C19" s="40"/>
      <c r="D19" s="40"/>
      <c r="E19" s="40"/>
      <c r="F19" s="40"/>
      <c r="G19" s="40"/>
      <c r="H19" s="40"/>
      <c r="I19" s="40"/>
    </row>
    <row r="20" spans="1:9">
      <c r="A20" s="9" t="s">
        <v>142</v>
      </c>
      <c r="B20" s="9" t="s">
        <v>143</v>
      </c>
      <c r="C20" s="9" t="s">
        <v>144</v>
      </c>
      <c r="D20" s="9" t="s">
        <v>145</v>
      </c>
      <c r="E20" s="9" t="s">
        <v>146</v>
      </c>
      <c r="F20" s="9" t="s">
        <v>122</v>
      </c>
    </row>
    <row r="21" spans="1:9">
      <c r="A21" s="1" t="s">
        <v>147</v>
      </c>
      <c r="B21" s="2" t="s">
        <v>148</v>
      </c>
      <c r="C21" s="16">
        <f>SUMIFS(입출고기록!$L$7:$L$306,입출고기록!$B$7:$B$306,"기초",입출고기록!$I$7:$I$306,"&lt;&gt;정정추가",입출고기록!$A$7:$A$306,"&lt;="&amp;상품·기준!$C$13)</f>
        <v>0</v>
      </c>
      <c r="D21" s="19">
        <f t="shared" ref="D21:D26" si="2">E21-C21</f>
        <v>0</v>
      </c>
      <c r="E21" s="16">
        <f>SUMIFS(입출고기록!$L$7:$L$306,입출고기록!$B$7:$B$306,"기초",입출고기록!$H$7:$H$306,"&lt;&gt;아니오",입출고기록!$A$7:$A$306,"&lt;="&amp;상품·기준!$C$13)</f>
        <v>0</v>
      </c>
    </row>
    <row r="22" spans="1:9">
      <c r="A22" s="1" t="s">
        <v>149</v>
      </c>
      <c r="B22" s="2" t="s">
        <v>148</v>
      </c>
      <c r="C22" s="16">
        <f>SUMIFS(입출고기록!$L$7:$L$306,입출고기록!$B$7:$B$306,"입고",입출고기록!$I$7:$I$306,"&lt;&gt;정정추가",입출고기록!$A$7:$A$306,"&lt;="&amp;상품·기준!$C$13)</f>
        <v>0</v>
      </c>
      <c r="D22" s="19">
        <f t="shared" si="2"/>
        <v>0</v>
      </c>
      <c r="E22" s="16">
        <f>SUMIFS(입출고기록!$L$7:$L$306,입출고기록!$B$7:$B$306,"입고",입출고기록!$H$7:$H$306,"&lt;&gt;아니오",입출고기록!$A$7:$A$306,"&lt;="&amp;상품·기준!$C$13)</f>
        <v>0</v>
      </c>
    </row>
    <row r="23" spans="1:9">
      <c r="A23" s="1" t="s">
        <v>150</v>
      </c>
      <c r="B23" s="2" t="s">
        <v>148</v>
      </c>
      <c r="C23" s="16">
        <f>SUMIFS(입출고기록!$L$7:$L$306,입출고기록!$B$7:$B$306,"반품",입출고기록!$I$7:$I$306,"&lt;&gt;정정추가",입출고기록!$A$7:$A$306,"&lt;="&amp;상품·기준!$C$13)</f>
        <v>0</v>
      </c>
      <c r="D23" s="19">
        <f t="shared" si="2"/>
        <v>0</v>
      </c>
      <c r="E23" s="16">
        <f>SUMIFS(입출고기록!$L$7:$L$306,입출고기록!$B$7:$B$306,"반품",입출고기록!$H$7:$H$306,"&lt;&gt;아니오",입출고기록!$A$7:$A$306,"&lt;="&amp;상품·기준!$C$13)</f>
        <v>0</v>
      </c>
    </row>
    <row r="24" spans="1:9">
      <c r="A24" s="1" t="s">
        <v>151</v>
      </c>
      <c r="B24" s="2" t="s">
        <v>152</v>
      </c>
      <c r="C24" s="16">
        <f>SUMIFS(입출고기록!$L$7:$L$306,입출고기록!$B$7:$B$306,"판매출고",입출고기록!$I$7:$I$306,"&lt;&gt;정정추가",입출고기록!$A$7:$A$306,"&lt;="&amp;상품·기준!$C$13)</f>
        <v>0</v>
      </c>
      <c r="D24" s="19">
        <f t="shared" si="2"/>
        <v>0</v>
      </c>
      <c r="E24" s="16">
        <f>SUMIFS(입출고기록!$L$7:$L$306,입출고기록!$B$7:$B$306,"판매출고",입출고기록!$H$7:$H$306,"&lt;&gt;아니오",입출고기록!$A$7:$A$306,"&lt;="&amp;상품·기준!$C$13)</f>
        <v>0</v>
      </c>
    </row>
    <row r="25" spans="1:9">
      <c r="A25" s="1" t="s">
        <v>153</v>
      </c>
      <c r="B25" s="2" t="s">
        <v>152</v>
      </c>
      <c r="C25" s="16">
        <f>SUMIFS(입출고기록!$L$7:$L$306,입출고기록!$B$7:$B$306,"폐기",입출고기록!$I$7:$I$306,"&lt;&gt;정정추가",입출고기록!$A$7:$A$306,"&lt;="&amp;상품·기준!$C$13)</f>
        <v>0</v>
      </c>
      <c r="D25" s="19">
        <f t="shared" si="2"/>
        <v>0</v>
      </c>
      <c r="E25" s="16">
        <f>SUMIFS(입출고기록!$L$7:$L$306,입출고기록!$B$7:$B$306,"폐기",입출고기록!$H$7:$H$306,"&lt;&gt;아니오",입출고기록!$A$7:$A$306,"&lt;="&amp;상품·기준!$C$13)</f>
        <v>0</v>
      </c>
    </row>
    <row r="26" spans="1:9">
      <c r="A26" s="1" t="s">
        <v>154</v>
      </c>
      <c r="B26" s="2" t="s">
        <v>155</v>
      </c>
      <c r="C26" s="16">
        <f>SUMIFS(입출고기록!$L$7:$L$306,입출고기록!$B$7:$B$306,"조정",입출고기록!$I$7:$I$306,"&lt;&gt;정정추가",입출고기록!$A$7:$A$306,"&lt;="&amp;상품·기준!$C$13)</f>
        <v>0</v>
      </c>
      <c r="D26" s="19">
        <f t="shared" si="2"/>
        <v>0</v>
      </c>
      <c r="E26" s="16">
        <f>SUMIFS(입출고기록!$L$7:$L$306,입출고기록!$B$7:$B$306,"조정",입출고기록!$H$7:$H$306,"&lt;&gt;아니오",입출고기록!$A$7:$A$306,"&lt;="&amp;상품·기준!$C$13)</f>
        <v>0</v>
      </c>
    </row>
    <row r="27" spans="1:9">
      <c r="A27" s="1" t="s">
        <v>156</v>
      </c>
      <c r="C27" s="20">
        <f>C21+C22+C23-C24-C25+C26</f>
        <v>0</v>
      </c>
      <c r="E27" s="20">
        <f>E21+E22+E23-E24-E25+E26</f>
        <v>0</v>
      </c>
    </row>
    <row r="28" spans="1:9">
      <c r="A28" s="1" t="s">
        <v>157</v>
      </c>
      <c r="C28" s="18" t="str">
        <f>IF(ISNUMBER($F$17),$F$17,"미입력")</f>
        <v>미입력</v>
      </c>
      <c r="E28" s="18" t="str">
        <f>IF(ISNUMBER($F$17),$F$17,"미입력")</f>
        <v>미입력</v>
      </c>
    </row>
    <row r="29" spans="1:9">
      <c r="A29" s="1" t="s">
        <v>158</v>
      </c>
      <c r="C29" s="21" t="str">
        <f>IF(AND(ISNUMBER(C27),ISNUMBER(C28)),C28-C27,"미입력")</f>
        <v>미입력</v>
      </c>
      <c r="E29" s="21" t="str">
        <f>IF(AND(ISNUMBER(E27),ISNUMBER(E28)),E28-E27,"미입력")</f>
        <v>미입력</v>
      </c>
      <c r="F29" s="4" t="str">
        <f>IF(NOT(ISNUMBER(E29)),"",IF(E29=0,"정상: 정정 뒤 기록상 수량과 실사가 같음","남은 차이가 있음: 증빙을 더 찾거나 조정 줄로 기록"))</f>
        <v/>
      </c>
    </row>
    <row r="30" spans="1:9">
      <c r="A30" s="36" t="s">
        <v>159</v>
      </c>
      <c r="B30" s="38"/>
      <c r="C30" s="38"/>
      <c r="D30" s="38"/>
      <c r="E30" s="38"/>
      <c r="F30" s="38"/>
      <c r="G30" s="38"/>
      <c r="H30" s="37"/>
    </row>
    <row r="31" spans="1:9">
      <c r="A31" s="41" t="s">
        <v>160</v>
      </c>
      <c r="B31" s="40"/>
      <c r="C31" s="40"/>
      <c r="D31" s="40"/>
      <c r="E31" s="40"/>
      <c r="F31" s="40"/>
      <c r="G31" s="40"/>
      <c r="H31" s="40"/>
      <c r="I31" s="40"/>
    </row>
    <row r="32" spans="1:9">
      <c r="A32" s="9" t="s">
        <v>161</v>
      </c>
      <c r="B32" s="9" t="s">
        <v>162</v>
      </c>
      <c r="C32" s="9" t="s">
        <v>163</v>
      </c>
      <c r="D32" s="9" t="s">
        <v>164</v>
      </c>
      <c r="E32" s="9" t="s">
        <v>165</v>
      </c>
      <c r="F32" s="9" t="s">
        <v>118</v>
      </c>
    </row>
    <row r="33" spans="1:9" ht="30" customHeight="1">
      <c r="A33" s="1" t="s">
        <v>166</v>
      </c>
      <c r="B33" s="17"/>
      <c r="C33" s="6"/>
      <c r="D33" s="22"/>
      <c r="E33" s="17"/>
      <c r="F33" s="17"/>
    </row>
    <row r="34" spans="1:9" ht="30" customHeight="1">
      <c r="A34" s="1" t="s">
        <v>167</v>
      </c>
      <c r="B34" s="17"/>
      <c r="C34" s="6"/>
      <c r="D34" s="22"/>
      <c r="E34" s="17"/>
      <c r="F34" s="17"/>
    </row>
    <row r="35" spans="1:9" ht="30" customHeight="1">
      <c r="A35" s="1" t="s">
        <v>168</v>
      </c>
      <c r="B35" s="17"/>
      <c r="C35" s="6"/>
      <c r="D35" s="22"/>
      <c r="E35" s="17"/>
      <c r="F35" s="17"/>
    </row>
    <row r="36" spans="1:9" ht="30" customHeight="1">
      <c r="A36" s="1" t="s">
        <v>169</v>
      </c>
      <c r="B36" s="17"/>
      <c r="C36" s="6"/>
      <c r="D36" s="22"/>
      <c r="E36" s="17"/>
      <c r="F36" s="17"/>
    </row>
    <row r="37" spans="1:9" ht="30" customHeight="1">
      <c r="A37" s="1" t="s">
        <v>170</v>
      </c>
      <c r="B37" s="17"/>
      <c r="C37" s="6"/>
      <c r="D37" s="22"/>
      <c r="E37" s="17"/>
      <c r="F37" s="17"/>
    </row>
    <row r="38" spans="1:9" ht="30" customHeight="1">
      <c r="A38" s="1" t="s">
        <v>171</v>
      </c>
      <c r="B38" s="17"/>
      <c r="C38" s="6"/>
      <c r="D38" s="22"/>
      <c r="E38" s="17"/>
      <c r="F38" s="17"/>
    </row>
    <row r="39" spans="1:9" ht="30" customHeight="1">
      <c r="A39" s="1" t="s">
        <v>172</v>
      </c>
      <c r="B39" s="17"/>
      <c r="C39" s="6"/>
      <c r="D39" s="22"/>
      <c r="E39" s="17"/>
      <c r="F39" s="17"/>
    </row>
    <row r="40" spans="1:9" ht="32">
      <c r="A40" s="1" t="s">
        <v>173</v>
      </c>
      <c r="B40" s="2" t="s">
        <v>174</v>
      </c>
      <c r="C40" s="13" t="str">
        <f>IF(ISNUMBER(D40),ABS(D40),"")</f>
        <v/>
      </c>
      <c r="D40" s="19" t="str">
        <f>IF(AND(ISNUMBER(C27),ISNUMBER(C28)),(C27-C28)-SUM(D33:D39),"미입력")</f>
        <v>미입력</v>
      </c>
      <c r="E40" s="2" t="s">
        <v>175</v>
      </c>
      <c r="F40" s="2" t="s">
        <v>176</v>
      </c>
    </row>
    <row r="41" spans="1:9">
      <c r="A41" s="1" t="s">
        <v>177</v>
      </c>
      <c r="D41" s="19" t="str">
        <f>IF(COUNT(D33:D39)=0,"미입력",SUM(D33:D39))</f>
        <v>미입력</v>
      </c>
      <c r="E41" s="4" t="str">
        <f>IF(NOT(ISNUMBER(D40)),"",IF(D40=0,"정상: 모두 설명됨","남은 차이 "&amp;D40&amp;"세트: 조정 줄로 기록"))</f>
        <v/>
      </c>
    </row>
    <row r="44" spans="1:9">
      <c r="A44" s="41" t="s">
        <v>178</v>
      </c>
      <c r="B44" s="40"/>
      <c r="C44" s="40"/>
      <c r="D44" s="40"/>
      <c r="E44" s="40"/>
      <c r="F44" s="40"/>
      <c r="G44" s="40"/>
      <c r="H44" s="40"/>
      <c r="I44" s="40"/>
    </row>
    <row r="45" spans="1:9">
      <c r="A45" s="1" t="s">
        <v>179</v>
      </c>
      <c r="B45" s="18" t="str">
        <f>F14</f>
        <v>미입력</v>
      </c>
    </row>
    <row r="46" spans="1:9">
      <c r="A46" s="1" t="s">
        <v>180</v>
      </c>
      <c r="B46" s="18">
        <f>SUM(B52:B59)</f>
        <v>0</v>
      </c>
    </row>
    <row r="47" spans="1:9">
      <c r="A47" s="1" t="s">
        <v>181</v>
      </c>
      <c r="B47" s="20" t="str">
        <f>IF(NOT(ISNUMBER(B45)),"미입력",B45-B46)</f>
        <v>미입력</v>
      </c>
      <c r="C47" s="4" t="str">
        <f>IF(NOT(ISNUMBER(B47)),"",IF(B47&lt;0,"음수: 예약이 판매 가능 상태 수량보다 큼","정상"))</f>
        <v/>
      </c>
    </row>
    <row r="48" spans="1:9">
      <c r="A48" s="1" t="s">
        <v>182</v>
      </c>
      <c r="B48" s="18" t="str">
        <f>F15</f>
        <v>미입력</v>
      </c>
    </row>
    <row r="49" spans="1:10">
      <c r="A49" s="1" t="s">
        <v>183</v>
      </c>
      <c r="B49" s="18" t="str">
        <f>F16</f>
        <v>미입력</v>
      </c>
    </row>
    <row r="50" spans="1:10">
      <c r="A50" s="1" t="s">
        <v>184</v>
      </c>
      <c r="B50" s="7"/>
    </row>
    <row r="51" spans="1:10" ht="32">
      <c r="A51" s="9" t="s">
        <v>185</v>
      </c>
      <c r="B51" s="9" t="s">
        <v>186</v>
      </c>
      <c r="C51" s="9" t="s">
        <v>187</v>
      </c>
    </row>
    <row r="52" spans="1:10">
      <c r="A52" s="3"/>
      <c r="B52" s="6"/>
      <c r="C52" s="4" t="str">
        <f>IF(A52="","",IF(COUNTIFS(입출고기록!$C$7:$C$306,A52,입출고기록!$B$7:$B$306,"판매출고",입출고기록!$H$7:$H$306,"&lt;&gt;아니오")&gt;0,"이미 출고로 기록됨: 이중 차감 위험","아니오(정상)"))</f>
        <v/>
      </c>
    </row>
    <row r="53" spans="1:10">
      <c r="A53" s="3"/>
      <c r="B53" s="6"/>
      <c r="C53" s="4" t="str">
        <f>IF(A53="","",IF(COUNTIFS(입출고기록!$C$7:$C$306,A53,입출고기록!$B$7:$B$306,"판매출고",입출고기록!$H$7:$H$306,"&lt;&gt;아니오")&gt;0,"이미 출고로 기록됨: 이중 차감 위험","아니오(정상)"))</f>
        <v/>
      </c>
    </row>
    <row r="54" spans="1:10">
      <c r="A54" s="3"/>
      <c r="B54" s="6"/>
      <c r="C54" s="4" t="str">
        <f>IF(A54="","",IF(COUNTIFS(입출고기록!$C$7:$C$306,A54,입출고기록!$B$7:$B$306,"판매출고",입출고기록!$H$7:$H$306,"&lt;&gt;아니오")&gt;0,"이미 출고로 기록됨: 이중 차감 위험","아니오(정상)"))</f>
        <v/>
      </c>
    </row>
    <row r="55" spans="1:10">
      <c r="A55" s="3"/>
      <c r="B55" s="6"/>
      <c r="C55" s="4" t="str">
        <f>IF(A55="","",IF(COUNTIFS(입출고기록!$C$7:$C$306,A55,입출고기록!$B$7:$B$306,"판매출고",입출고기록!$H$7:$H$306,"&lt;&gt;아니오")&gt;0,"이미 출고로 기록됨: 이중 차감 위험","아니오(정상)"))</f>
        <v/>
      </c>
    </row>
    <row r="56" spans="1:10">
      <c r="A56" s="3"/>
      <c r="B56" s="6"/>
      <c r="C56" s="4" t="str">
        <f>IF(A56="","",IF(COUNTIFS(입출고기록!$C$7:$C$306,A56,입출고기록!$B$7:$B$306,"판매출고",입출고기록!$H$7:$H$306,"&lt;&gt;아니오")&gt;0,"이미 출고로 기록됨: 이중 차감 위험","아니오(정상)"))</f>
        <v/>
      </c>
    </row>
    <row r="57" spans="1:10">
      <c r="A57" s="3"/>
      <c r="B57" s="6"/>
      <c r="C57" s="4" t="str">
        <f>IF(A57="","",IF(COUNTIFS(입출고기록!$C$7:$C$306,A57,입출고기록!$B$7:$B$306,"판매출고",입출고기록!$H$7:$H$306,"&lt;&gt;아니오")&gt;0,"이미 출고로 기록됨: 이중 차감 위험","아니오(정상)"))</f>
        <v/>
      </c>
    </row>
    <row r="58" spans="1:10">
      <c r="A58" s="3"/>
      <c r="B58" s="6"/>
      <c r="C58" s="4" t="str">
        <f>IF(A58="","",IF(COUNTIFS(입출고기록!$C$7:$C$306,A58,입출고기록!$B$7:$B$306,"판매출고",입출고기록!$H$7:$H$306,"&lt;&gt;아니오")&gt;0,"이미 출고로 기록됨: 이중 차감 위험","아니오(정상)"))</f>
        <v/>
      </c>
    </row>
    <row r="59" spans="1:10">
      <c r="A59" s="3"/>
      <c r="B59" s="6"/>
      <c r="C59" s="4" t="str">
        <f>IF(A59="","",IF(COUNTIFS(입출고기록!$C$7:$C$306,A59,입출고기록!$B$7:$B$306,"판매출고",입출고기록!$H$7:$H$306,"&lt;&gt;아니오")&gt;0,"이미 출고로 기록됨: 이중 차감 위험","아니오(정상)"))</f>
        <v/>
      </c>
    </row>
    <row r="61" spans="1:10">
      <c r="A61" s="41" t="s">
        <v>188</v>
      </c>
      <c r="B61" s="40"/>
      <c r="C61" s="40"/>
      <c r="D61" s="40"/>
      <c r="E61" s="40"/>
      <c r="F61" s="40"/>
      <c r="G61" s="40"/>
      <c r="H61" s="40"/>
      <c r="I61" s="40"/>
    </row>
    <row r="62" spans="1:10">
      <c r="A62" s="9" t="s">
        <v>189</v>
      </c>
      <c r="B62" s="9" t="s">
        <v>124</v>
      </c>
      <c r="C62" s="9" t="s">
        <v>190</v>
      </c>
      <c r="D62" s="9" t="s">
        <v>191</v>
      </c>
      <c r="E62" s="9" t="s">
        <v>192</v>
      </c>
      <c r="F62" s="9" t="s">
        <v>193</v>
      </c>
      <c r="G62" s="9" t="s">
        <v>194</v>
      </c>
      <c r="H62" s="9" t="s">
        <v>195</v>
      </c>
      <c r="I62" s="9" t="s">
        <v>196</v>
      </c>
      <c r="J62" s="9" t="s">
        <v>197</v>
      </c>
    </row>
    <row r="63" spans="1:10">
      <c r="A63" s="3"/>
      <c r="B63" s="6"/>
      <c r="C63" s="6"/>
      <c r="D63" s="6"/>
      <c r="E63" s="6"/>
      <c r="F63" s="13" t="str">
        <f t="shared" ref="F63:F68" si="3">IF(A63="","",IF(ISNUMBER(E63),E63,IF(AND(ISNUMBER(B63),B63&gt;0,ISNUMBER(C63)),(C63*B63+IF(ISNUMBER(D63),D63,0))/B63,"단가 미입력")))</f>
        <v/>
      </c>
      <c r="G63" s="13" t="str">
        <f t="shared" ref="G63:G68" si="4">IF(AND(ISNUMBER(B63),ISNUMBER(F63)),B63*F63,"")</f>
        <v/>
      </c>
      <c r="H63" s="4" t="str">
        <f>IF(AND(ISNUMBER(B63),ISNUMBER($F$17)),MAX(0,MIN(B63,$F$17-SUM(B64:B$69))),"")</f>
        <v/>
      </c>
      <c r="I63" s="13" t="str">
        <f t="shared" ref="I63:I68" si="5">IF(AND(ISNUMBER(H63),ISNUMBER(F63)),H63*F63,"")</f>
        <v/>
      </c>
      <c r="J63" s="13" t="str">
        <f t="shared" ref="J63:J68" si="6">IF(AND(ISNUMBER(B63),ISNUMBER(H63)),B63-H63,"")</f>
        <v/>
      </c>
    </row>
    <row r="64" spans="1:10">
      <c r="A64" s="3"/>
      <c r="B64" s="6"/>
      <c r="C64" s="6"/>
      <c r="D64" s="6"/>
      <c r="E64" s="6"/>
      <c r="F64" s="13" t="str">
        <f t="shared" si="3"/>
        <v/>
      </c>
      <c r="G64" s="13" t="str">
        <f t="shared" si="4"/>
        <v/>
      </c>
      <c r="H64" s="4" t="str">
        <f>IF(AND(ISNUMBER(B64),ISNUMBER($F$17)),MAX(0,MIN(B64,$F$17-SUM(B65:B$69))),"")</f>
        <v/>
      </c>
      <c r="I64" s="13" t="str">
        <f t="shared" si="5"/>
        <v/>
      </c>
      <c r="J64" s="13" t="str">
        <f t="shared" si="6"/>
        <v/>
      </c>
    </row>
    <row r="65" spans="1:10">
      <c r="A65" s="3"/>
      <c r="B65" s="6"/>
      <c r="C65" s="6"/>
      <c r="D65" s="6"/>
      <c r="E65" s="6"/>
      <c r="F65" s="13" t="str">
        <f t="shared" si="3"/>
        <v/>
      </c>
      <c r="G65" s="13" t="str">
        <f t="shared" si="4"/>
        <v/>
      </c>
      <c r="H65" s="4" t="str">
        <f>IF(AND(ISNUMBER(B65),ISNUMBER($F$17)),MAX(0,MIN(B65,$F$17-SUM(B66:B$69))),"")</f>
        <v/>
      </c>
      <c r="I65" s="13" t="str">
        <f t="shared" si="5"/>
        <v/>
      </c>
      <c r="J65" s="13" t="str">
        <f t="shared" si="6"/>
        <v/>
      </c>
    </row>
    <row r="66" spans="1:10">
      <c r="A66" s="3"/>
      <c r="B66" s="6"/>
      <c r="C66" s="6"/>
      <c r="D66" s="6"/>
      <c r="E66" s="6"/>
      <c r="F66" s="13" t="str">
        <f t="shared" si="3"/>
        <v/>
      </c>
      <c r="G66" s="13" t="str">
        <f t="shared" si="4"/>
        <v/>
      </c>
      <c r="H66" s="4" t="str">
        <f>IF(AND(ISNUMBER(B66),ISNUMBER($F$17)),MAX(0,MIN(B66,$F$17-SUM(B67:B$69))),"")</f>
        <v/>
      </c>
      <c r="I66" s="13" t="str">
        <f t="shared" si="5"/>
        <v/>
      </c>
      <c r="J66" s="13" t="str">
        <f t="shared" si="6"/>
        <v/>
      </c>
    </row>
    <row r="67" spans="1:10">
      <c r="A67" s="3"/>
      <c r="B67" s="6"/>
      <c r="C67" s="6"/>
      <c r="D67" s="6"/>
      <c r="E67" s="6"/>
      <c r="F67" s="13" t="str">
        <f t="shared" si="3"/>
        <v/>
      </c>
      <c r="G67" s="13" t="str">
        <f t="shared" si="4"/>
        <v/>
      </c>
      <c r="H67" s="4" t="str">
        <f>IF(AND(ISNUMBER(B67),ISNUMBER($F$17)),MAX(0,MIN(B67,$F$17-SUM(B68:B$69))),"")</f>
        <v/>
      </c>
      <c r="I67" s="13" t="str">
        <f t="shared" si="5"/>
        <v/>
      </c>
      <c r="J67" s="13" t="str">
        <f t="shared" si="6"/>
        <v/>
      </c>
    </row>
    <row r="68" spans="1:10">
      <c r="A68" s="3"/>
      <c r="B68" s="6"/>
      <c r="C68" s="6"/>
      <c r="D68" s="6"/>
      <c r="E68" s="6"/>
      <c r="F68" s="13" t="str">
        <f t="shared" si="3"/>
        <v/>
      </c>
      <c r="G68" s="13" t="str">
        <f t="shared" si="4"/>
        <v/>
      </c>
      <c r="H68" s="4" t="str">
        <f>IF(AND(ISNUMBER(B68),ISNUMBER($F$17)),MAX(0,MIN(B68,$F$17-SUM(B69:B$69))),"")</f>
        <v/>
      </c>
      <c r="I68" s="13" t="str">
        <f t="shared" si="5"/>
        <v/>
      </c>
      <c r="J68" s="13" t="str">
        <f t="shared" si="6"/>
        <v/>
      </c>
    </row>
    <row r="69" spans="1:10">
      <c r="A69" s="23" t="s">
        <v>198</v>
      </c>
    </row>
    <row r="70" spans="1:10">
      <c r="A70" s="1" t="s">
        <v>199</v>
      </c>
      <c r="B70" s="13">
        <f>SUM(B63:B68)</f>
        <v>0</v>
      </c>
      <c r="G70" s="13">
        <f>SUM(G63:G68)</f>
        <v>0</v>
      </c>
      <c r="H70" s="4">
        <f>SUM(H63:H68)</f>
        <v>0</v>
      </c>
      <c r="I70" s="13">
        <f>SUM(I63:I68)</f>
        <v>0</v>
      </c>
      <c r="J70" s="13">
        <f>SUM(J63:J68)</f>
        <v>0</v>
      </c>
    </row>
    <row r="71" spans="1:10" ht="48">
      <c r="A71" s="1" t="s">
        <v>200</v>
      </c>
      <c r="C71" s="3"/>
      <c r="D71" s="2" t="s">
        <v>201</v>
      </c>
    </row>
    <row r="72" spans="1:10">
      <c r="A72" s="1" t="s">
        <v>202</v>
      </c>
      <c r="C72" s="24" t="str">
        <f>IF(SUMIFS(B63:B68,F63:F68,"&gt;0")&gt;0,G70/SUMIFS(B63:B68,F63:F68,"&gt;0"),"미입력")</f>
        <v>미입력</v>
      </c>
    </row>
    <row r="73" spans="1:10">
      <c r="A73" s="1" t="s">
        <v>203</v>
      </c>
      <c r="C73" s="24" t="str">
        <f>IF(AND(ISNUMBER(H70),H70&gt;0),I70/H70,"미입력")</f>
        <v>미입력</v>
      </c>
    </row>
    <row r="74" spans="1:10">
      <c r="A74" s="1" t="s">
        <v>204</v>
      </c>
      <c r="C74" s="25" t="str">
        <f>IF(C71="총평균",C72,C73)</f>
        <v>미입력</v>
      </c>
      <c r="D74" s="4" t="str">
        <f>IF(AND(ISNUMBER(F17),B70&lt;F17),"로트 수량 합계가 실사 수량보다 작음: 로트를 더 적으세요",IF(COUNTIF(F63:F68,"단가 미입력")&gt;0,"단가 미입력 로트 있음: 계산에서 제외","정상"))</f>
        <v>정상</v>
      </c>
    </row>
    <row r="75" spans="1:10" ht="44" customHeight="1">
      <c r="A75" s="43" t="s">
        <v>205</v>
      </c>
      <c r="B75" s="38"/>
      <c r="C75" s="38"/>
      <c r="D75" s="38"/>
      <c r="E75" s="38"/>
      <c r="F75" s="38"/>
      <c r="G75" s="38"/>
      <c r="H75" s="38"/>
      <c r="I75" s="37"/>
    </row>
    <row r="76" spans="1:10">
      <c r="A76" s="9" t="s">
        <v>118</v>
      </c>
      <c r="B76" s="9" t="s">
        <v>124</v>
      </c>
      <c r="C76" s="9" t="s">
        <v>206</v>
      </c>
      <c r="D76" s="9" t="s">
        <v>207</v>
      </c>
    </row>
    <row r="77" spans="1:10">
      <c r="A77" s="1" t="s">
        <v>208</v>
      </c>
      <c r="B77" s="13" t="str">
        <f>B47</f>
        <v>미입력</v>
      </c>
      <c r="C77" s="24" t="str">
        <f>$C$74</f>
        <v>미입력</v>
      </c>
      <c r="D77" s="13" t="str">
        <f>IF(AND(ISNUMBER(B77),ISNUMBER(C77)),B77*C77,"계산 불가")</f>
        <v>계산 불가</v>
      </c>
    </row>
    <row r="78" spans="1:10">
      <c r="A78" s="1" t="s">
        <v>209</v>
      </c>
      <c r="B78" s="13">
        <f>B46</f>
        <v>0</v>
      </c>
      <c r="C78" s="24" t="str">
        <f>$C$74</f>
        <v>미입력</v>
      </c>
      <c r="D78" s="13" t="str">
        <f>IF(AND(ISNUMBER(B78),ISNUMBER(C78)),B78*C78,"계산 불가")</f>
        <v>계산 불가</v>
      </c>
    </row>
    <row r="79" spans="1:10">
      <c r="A79" s="1" t="s">
        <v>182</v>
      </c>
      <c r="B79" s="13" t="str">
        <f>B48</f>
        <v>미입력</v>
      </c>
      <c r="C79" s="24" t="str">
        <f>$C$74</f>
        <v>미입력</v>
      </c>
      <c r="D79" s="13" t="str">
        <f>IF(AND(ISNUMBER(B79),ISNUMBER(C79)),B79*C79,"계산 불가")</f>
        <v>계산 불가</v>
      </c>
    </row>
    <row r="80" spans="1:10">
      <c r="A80" s="1" t="s">
        <v>183</v>
      </c>
      <c r="B80" s="13" t="str">
        <f>B49</f>
        <v>미입력</v>
      </c>
      <c r="C80" s="24" t="str">
        <f>$C$74</f>
        <v>미입력</v>
      </c>
      <c r="D80" s="13" t="str">
        <f>IF(AND(ISNUMBER(B80),ISNUMBER(C80)),B80*C80,"계산 불가")</f>
        <v>계산 불가</v>
      </c>
    </row>
    <row r="81" spans="1:9">
      <c r="A81" s="1" t="s">
        <v>199</v>
      </c>
      <c r="B81" s="13">
        <f>SUM(B77:B80)</f>
        <v>0</v>
      </c>
      <c r="D81" s="18" t="str">
        <f>IF(COUNT(D77:D80)=0,"계산 불가",SUM(D77:D80))</f>
        <v>계산 불가</v>
      </c>
    </row>
    <row r="83" spans="1:9">
      <c r="A83" s="1" t="s">
        <v>210</v>
      </c>
      <c r="D83" s="13">
        <f>입고예정!$C$27</f>
        <v>0</v>
      </c>
    </row>
    <row r="84" spans="1:9" ht="32">
      <c r="A84" s="1" t="s">
        <v>211</v>
      </c>
      <c r="D84" s="18" t="str">
        <f>IF(AND(ISNUMBER(D81),ISNUMBER(D83)),D81+D83,"계산 불가")</f>
        <v>계산 불가</v>
      </c>
    </row>
    <row r="85" spans="1:9">
      <c r="A85" s="1" t="s">
        <v>212</v>
      </c>
      <c r="D85" s="13" t="str">
        <f>IF(AND(ISNUMBER(상품·기준!$C$20),ISNUMBER(상품·기준!$C$21),ISNUMBER(상품·기준!$C$22)),상품·기준!$C$20*(1-상품·기준!$C$21)-상품·기준!$C$22,"미입력")</f>
        <v>미입력</v>
      </c>
    </row>
    <row r="86" spans="1:9" ht="32">
      <c r="A86" s="1" t="s">
        <v>213</v>
      </c>
      <c r="D86" s="13" t="str">
        <f>IF(AND(ISNUMBER(B47),ISNUMBER(D85)),B47*D85,"계산 불가")</f>
        <v>계산 불가</v>
      </c>
    </row>
    <row r="88" spans="1:9">
      <c r="A88" s="41" t="s">
        <v>214</v>
      </c>
      <c r="B88" s="40"/>
      <c r="C88" s="40"/>
      <c r="D88" s="40"/>
      <c r="E88" s="40"/>
      <c r="F88" s="40"/>
      <c r="G88" s="40"/>
      <c r="H88" s="40"/>
      <c r="I88" s="40"/>
    </row>
    <row r="89" spans="1:9">
      <c r="A89" s="1" t="s">
        <v>215</v>
      </c>
      <c r="B89" s="36" t="s">
        <v>216</v>
      </c>
      <c r="C89" s="38"/>
      <c r="D89" s="38"/>
      <c r="E89" s="38"/>
      <c r="F89" s="38"/>
      <c r="G89" s="37"/>
    </row>
    <row r="90" spans="1:9">
      <c r="A90" s="1" t="s">
        <v>217</v>
      </c>
      <c r="B90" s="36" t="s">
        <v>218</v>
      </c>
      <c r="C90" s="38"/>
      <c r="D90" s="38"/>
      <c r="E90" s="38"/>
      <c r="F90" s="38"/>
      <c r="G90" s="37"/>
    </row>
    <row r="91" spans="1:9">
      <c r="A91" s="1" t="s">
        <v>219</v>
      </c>
      <c r="B91" s="36" t="s">
        <v>220</v>
      </c>
      <c r="C91" s="38"/>
      <c r="D91" s="38"/>
      <c r="E91" s="38"/>
      <c r="F91" s="38"/>
      <c r="G91" s="37"/>
    </row>
    <row r="92" spans="1:9">
      <c r="A92" s="1" t="s">
        <v>221</v>
      </c>
      <c r="B92" s="36" t="s">
        <v>222</v>
      </c>
      <c r="C92" s="38"/>
      <c r="D92" s="38"/>
      <c r="E92" s="38"/>
      <c r="F92" s="38"/>
      <c r="G92" s="37"/>
    </row>
    <row r="93" spans="1:9">
      <c r="A93" s="1" t="s">
        <v>223</v>
      </c>
      <c r="B93" s="36" t="s">
        <v>224</v>
      </c>
      <c r="C93" s="38"/>
      <c r="D93" s="38"/>
      <c r="E93" s="38"/>
      <c r="F93" s="38"/>
      <c r="G93" s="37"/>
    </row>
    <row r="95" spans="1:9">
      <c r="A95" s="41" t="s">
        <v>225</v>
      </c>
      <c r="B95" s="40"/>
      <c r="C95" s="40"/>
      <c r="D95" s="40"/>
      <c r="E95" s="40"/>
      <c r="F95" s="40"/>
      <c r="G95" s="40"/>
      <c r="H95" s="40"/>
      <c r="I95" s="40"/>
    </row>
    <row r="96" spans="1:9">
      <c r="A96" s="9" t="s">
        <v>102</v>
      </c>
      <c r="B96" s="9" t="s">
        <v>124</v>
      </c>
      <c r="C96" s="9" t="s">
        <v>226</v>
      </c>
      <c r="D96" s="9" t="s">
        <v>227</v>
      </c>
      <c r="E96" s="45" t="s">
        <v>228</v>
      </c>
      <c r="F96" s="38"/>
      <c r="G96" s="38"/>
      <c r="H96" s="38"/>
      <c r="I96" s="37"/>
    </row>
    <row r="97" spans="1:9" ht="32" customHeight="1">
      <c r="A97" s="1" t="s">
        <v>229</v>
      </c>
      <c r="B97" s="13" t="str">
        <f>F17</f>
        <v>미입력</v>
      </c>
      <c r="C97" s="24" t="str">
        <f>C74</f>
        <v>미입력</v>
      </c>
      <c r="D97" s="18" t="str">
        <f>D81</f>
        <v>계산 불가</v>
      </c>
      <c r="E97" s="36" t="s">
        <v>230</v>
      </c>
      <c r="F97" s="38"/>
      <c r="G97" s="38"/>
      <c r="H97" s="38"/>
      <c r="I97" s="37"/>
    </row>
    <row r="98" spans="1:9" ht="32" customHeight="1">
      <c r="A98" s="1" t="s">
        <v>231</v>
      </c>
      <c r="B98" s="13" t="str">
        <f>F17</f>
        <v>미입력</v>
      </c>
      <c r="C98" s="26"/>
      <c r="D98" s="18" t="str">
        <f>IF(AND(ISNUMBER(B98),ISNUMBER(C98)),B98*C98,IF(ISNUMBER(B98),"미입력: 세트당 금액(공급처 지금 가격표)을 노란 칸에 적으세요","계산 불가"))</f>
        <v>계산 불가</v>
      </c>
      <c r="E98" s="36" t="s">
        <v>232</v>
      </c>
      <c r="F98" s="38"/>
      <c r="G98" s="38"/>
      <c r="H98" s="38"/>
      <c r="I98" s="37"/>
    </row>
    <row r="99" spans="1:9" ht="32" customHeight="1">
      <c r="A99" s="1" t="s">
        <v>233</v>
      </c>
      <c r="B99" s="13" t="str">
        <f>B47</f>
        <v>미입력</v>
      </c>
      <c r="C99" s="13" t="str">
        <f>D85</f>
        <v>미입력</v>
      </c>
      <c r="D99" s="18" t="str">
        <f>D86</f>
        <v>계산 불가</v>
      </c>
      <c r="E99" s="36" t="s">
        <v>234</v>
      </c>
      <c r="F99" s="38"/>
      <c r="G99" s="38"/>
      <c r="H99" s="38"/>
      <c r="I99" s="37"/>
    </row>
    <row r="100" spans="1:9">
      <c r="A100" s="1" t="s">
        <v>235</v>
      </c>
      <c r="D100" s="21" t="str">
        <f>IF(AND(ISNUMBER(D97),ISNUMBER(D98)),D98-D97,"계산 불가")</f>
        <v>계산 불가</v>
      </c>
      <c r="E100" s="44" t="str">
        <f>IF(NOT(ISNUMBER(D100)),"",IF(D100=0,"같음: 가격표 단가가 기록상 단가와 같은 경우입니다. 선입선출이라서 같은 것이 아닙니다","다름: 가격표 단가가 기록상 단가와 다릅니다"))</f>
        <v/>
      </c>
      <c r="F100" s="38"/>
      <c r="G100" s="38"/>
      <c r="H100" s="38"/>
      <c r="I100" s="37"/>
    </row>
    <row r="102" spans="1:9">
      <c r="A102" s="41" t="s">
        <v>236</v>
      </c>
      <c r="B102" s="40"/>
      <c r="C102" s="40"/>
      <c r="D102" s="40"/>
      <c r="E102" s="40"/>
      <c r="F102" s="40"/>
      <c r="G102" s="40"/>
      <c r="H102" s="40"/>
      <c r="I102" s="40"/>
    </row>
    <row r="103" spans="1:9">
      <c r="A103" s="9" t="s">
        <v>142</v>
      </c>
      <c r="B103" s="9"/>
      <c r="C103" s="9"/>
      <c r="D103" s="9" t="s">
        <v>227</v>
      </c>
      <c r="E103" s="45" t="s">
        <v>237</v>
      </c>
      <c r="F103" s="38"/>
      <c r="G103" s="38"/>
      <c r="H103" s="38"/>
      <c r="I103" s="37"/>
    </row>
    <row r="104" spans="1:9" ht="32" customHeight="1">
      <c r="A104" s="1" t="s">
        <v>238</v>
      </c>
      <c r="D104" s="13" t="str">
        <f>D78</f>
        <v>계산 불가</v>
      </c>
      <c r="E104" s="36" t="s">
        <v>239</v>
      </c>
      <c r="F104" s="38"/>
      <c r="G104" s="38"/>
      <c r="H104" s="38"/>
      <c r="I104" s="37"/>
    </row>
    <row r="105" spans="1:9" ht="32" customHeight="1">
      <c r="A105" s="1" t="s">
        <v>240</v>
      </c>
      <c r="D105" s="6"/>
      <c r="E105" s="36" t="s">
        <v>241</v>
      </c>
      <c r="F105" s="38"/>
      <c r="G105" s="38"/>
      <c r="H105" s="38"/>
      <c r="I105" s="37"/>
    </row>
    <row r="106" spans="1:9" ht="32" customHeight="1">
      <c r="A106" s="1" t="s">
        <v>242</v>
      </c>
      <c r="D106" s="13" t="str">
        <f>IF(ISNUMBER(D105),IF(ISNUMBER(상품·기준!$C$21),D105*(1-상품·기준!$C$21),"계산 불가: 수수료율 미입력"),IF(D105="","미입력","계산 불가: 판매대금 "&amp;D105))</f>
        <v>미입력</v>
      </c>
      <c r="E106" s="36" t="s">
        <v>243</v>
      </c>
      <c r="F106" s="38"/>
      <c r="G106" s="38"/>
      <c r="H106" s="38"/>
      <c r="I106" s="37"/>
    </row>
    <row r="107" spans="1:9" ht="32" customHeight="1">
      <c r="A107" s="1" t="s">
        <v>244</v>
      </c>
      <c r="D107" s="6"/>
      <c r="E107" s="44" t="str">
        <f>IF(D107="","미입력: 입금 전이면 '미확인'이라고 적으세요",IF(ISNUMBER(D107),IF(D107=0,"0원으로 확인함(0은 확인한 값)","입금 확인값"),"계산 불가: "&amp;D107))</f>
        <v>미입력: 입금 전이면 '미확인'이라고 적으세요</v>
      </c>
      <c r="F107" s="38"/>
      <c r="G107" s="38"/>
      <c r="H107" s="38"/>
      <c r="I107" s="37"/>
    </row>
  </sheetData>
  <mergeCells count="27">
    <mergeCell ref="A1:I1"/>
    <mergeCell ref="A88:I88"/>
    <mergeCell ref="B93:G93"/>
    <mergeCell ref="E97:I97"/>
    <mergeCell ref="A61:I61"/>
    <mergeCell ref="E96:I96"/>
    <mergeCell ref="A2:I2"/>
    <mergeCell ref="E107:I107"/>
    <mergeCell ref="E103:I103"/>
    <mergeCell ref="B92:G92"/>
    <mergeCell ref="A4:I4"/>
    <mergeCell ref="A19:I19"/>
    <mergeCell ref="B89:G89"/>
    <mergeCell ref="E105:I105"/>
    <mergeCell ref="E99:I99"/>
    <mergeCell ref="A44:I44"/>
    <mergeCell ref="A102:I102"/>
    <mergeCell ref="E104:I104"/>
    <mergeCell ref="A31:I31"/>
    <mergeCell ref="B91:G91"/>
    <mergeCell ref="E100:I100"/>
    <mergeCell ref="B90:G90"/>
    <mergeCell ref="A30:H30"/>
    <mergeCell ref="E106:I106"/>
    <mergeCell ref="A75:I75"/>
    <mergeCell ref="E98:I98"/>
    <mergeCell ref="A95:I95"/>
  </mergeCells>
  <phoneticPr fontId="11" type="noConversion"/>
  <conditionalFormatting sqref="C47">
    <cfRule type="expression" dxfId="19" priority="7">
      <formula>LEFT(C47,2)="정상"</formula>
    </cfRule>
    <cfRule type="expression" dxfId="18" priority="8">
      <formula>AND(LEN(C47)&gt;0,LEFT(C47,2)&lt;&gt;"정상")</formula>
    </cfRule>
  </conditionalFormatting>
  <conditionalFormatting sqref="C52:C59">
    <cfRule type="expression" dxfId="17" priority="9">
      <formula>LEFT(C52,2)="정상"</formula>
    </cfRule>
    <cfRule type="expression" dxfId="16" priority="10">
      <formula>AND(LEN(C52)&gt;0,LEFT(C52,2)&lt;&gt;"정상")</formula>
    </cfRule>
  </conditionalFormatting>
  <conditionalFormatting sqref="D74">
    <cfRule type="expression" dxfId="15" priority="11">
      <formula>LEFT(D74,2)="정상"</formula>
    </cfRule>
    <cfRule type="expression" dxfId="14" priority="12">
      <formula>AND(LEN(D74)&gt;0,LEFT(D74,2)&lt;&gt;"정상")</formula>
    </cfRule>
  </conditionalFormatting>
  <conditionalFormatting sqref="E41">
    <cfRule type="expression" dxfId="13" priority="5">
      <formula>LEFT(E41,2)="정상"</formula>
    </cfRule>
    <cfRule type="expression" dxfId="12" priority="6">
      <formula>AND(LEN(E41)&gt;0,LEFT(E41,2)&lt;&gt;"정상")</formula>
    </cfRule>
  </conditionalFormatting>
  <conditionalFormatting sqref="F29">
    <cfRule type="expression" dxfId="11" priority="3">
      <formula>LEFT(F29,2)="정상"</formula>
    </cfRule>
    <cfRule type="expression" dxfId="10" priority="4">
      <formula>AND(LEN(F29)&gt;0,LEFT(F29,2)&lt;&gt;"정상")</formula>
    </cfRule>
  </conditionalFormatting>
  <conditionalFormatting sqref="H6:H13">
    <cfRule type="expression" dxfId="9" priority="1">
      <formula>LEFT(H6,2)="정상"</formula>
    </cfRule>
    <cfRule type="expression" dxfId="8" priority="2">
      <formula>AND(LEN(H6)&gt;0,LEFT(H6,2)&lt;&gt;"정상")</formula>
    </cfRule>
  </conditionalFormatting>
  <dataValidations count="2">
    <dataValidation type="list" allowBlank="1" showErrorMessage="1" errorTitle="목록에서 선택" error="목록에 있는 값을 선택하세요." sqref="B6:B13" xr:uid="{00000000-0002-0000-0300-000000000000}">
      <formula1>"판매 가능,검수 중,판매 불가"</formula1>
    </dataValidation>
    <dataValidation type="list" allowBlank="1" showInputMessage="1" showErrorMessage="1" errorTitle="목록에서 선택" error="목록에 있는 값을 선택하세요." prompt="비워 두면 선입선출" sqref="C71" xr:uid="{00000000-0002-0000-0300-000001000000}">
      <formula1>"선입선출,총평균"</formula1>
    </dataValidation>
  </dataValidations>
  <pageMargins left="0.75" right="0.75" top="1" bottom="1" header="0.5" footer="0.5"/>
  <pageSetup paperSize="9"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20"/>
  <sheetViews>
    <sheetView workbookViewId="0">
      <pane ySplit="3" topLeftCell="A4" activePane="bottomLeft" state="frozen"/>
      <selection pane="bottomLeft"/>
    </sheetView>
  </sheetViews>
  <sheetFormatPr baseColWidth="10" defaultColWidth="8.83203125" defaultRowHeight="17"/>
  <cols>
    <col min="1" max="1" width="26" customWidth="1"/>
    <col min="2" max="5" width="14" customWidth="1"/>
    <col min="6" max="7" width="10" customWidth="1"/>
    <col min="8" max="8" width="13" customWidth="1"/>
    <col min="9" max="10" width="11" customWidth="1"/>
    <col min="11" max="11" width="13" customWidth="1"/>
    <col min="12" max="12" width="46" customWidth="1"/>
  </cols>
  <sheetData>
    <row r="1" spans="1:12" ht="20">
      <c r="A1" s="42" t="s">
        <v>245</v>
      </c>
      <c r="B1" s="40"/>
      <c r="C1" s="40"/>
      <c r="D1" s="40"/>
      <c r="E1" s="40"/>
      <c r="F1" s="40"/>
      <c r="G1" s="40"/>
      <c r="H1" s="40"/>
      <c r="I1" s="40"/>
      <c r="J1" s="40"/>
      <c r="K1" s="40"/>
      <c r="L1" s="40"/>
    </row>
    <row r="2" spans="1:12" ht="48" customHeight="1">
      <c r="A2" s="39" t="s">
        <v>246</v>
      </c>
      <c r="B2" s="40"/>
      <c r="C2" s="40"/>
      <c r="D2" s="40"/>
      <c r="E2" s="40"/>
      <c r="F2" s="40"/>
      <c r="G2" s="40"/>
      <c r="H2" s="40"/>
      <c r="I2" s="40"/>
      <c r="J2" s="40"/>
      <c r="K2" s="40"/>
      <c r="L2" s="40"/>
    </row>
    <row r="4" spans="1:12">
      <c r="A4" s="41" t="s">
        <v>247</v>
      </c>
      <c r="B4" s="40"/>
      <c r="C4" s="40"/>
      <c r="D4" s="40"/>
      <c r="E4" s="40"/>
      <c r="F4" s="40"/>
      <c r="G4" s="40"/>
      <c r="H4" s="40"/>
      <c r="I4" s="40"/>
      <c r="J4" s="40"/>
      <c r="K4" s="40"/>
      <c r="L4" s="40"/>
    </row>
    <row r="5" spans="1:12">
      <c r="A5" s="9" t="s">
        <v>248</v>
      </c>
      <c r="B5" s="9" t="s">
        <v>249</v>
      </c>
      <c r="C5" s="9" t="s">
        <v>250</v>
      </c>
      <c r="D5" s="9" t="s">
        <v>251</v>
      </c>
      <c r="E5" s="9" t="s">
        <v>252</v>
      </c>
      <c r="F5" s="9" t="s">
        <v>253</v>
      </c>
      <c r="G5" s="9" t="s">
        <v>254</v>
      </c>
      <c r="H5" s="9" t="s">
        <v>255</v>
      </c>
      <c r="I5" s="9" t="s">
        <v>256</v>
      </c>
      <c r="J5" s="9" t="s">
        <v>257</v>
      </c>
      <c r="K5" s="9" t="s">
        <v>258</v>
      </c>
      <c r="L5" s="9" t="s">
        <v>259</v>
      </c>
    </row>
    <row r="6" spans="1:12">
      <c r="A6" s="3"/>
      <c r="B6" s="7"/>
      <c r="C6" s="7"/>
      <c r="D6" s="3"/>
      <c r="E6" s="13" t="str">
        <f>IF(OR(B6="",C6=""),"",IF(C6&lt;B6,"종료일이 시작일보다 앞",COUNTIFS($A$21:$A$220,"&gt;="&amp;B6,$A$21:$A$220,"&lt;="&amp;C6,$D$21:$D$220,IF(D6="제외","&lt;&gt;행사",IF(D6="행사일만","행사","&lt;&gt;~")))))</f>
        <v/>
      </c>
      <c r="F6" s="13" t="str">
        <f>IF(NOT(ISNUMBER(E6)),"",COUNTIFS($A$21:$A$220,"&gt;="&amp;B6,$A$21:$A$220,"&lt;="&amp;C6,$C$21:$C$220,"품절",$D$21:$D$220,IF(D6="제외","&lt;&gt;행사",IF(D6="행사일만","행사","&lt;&gt;~"))))</f>
        <v/>
      </c>
      <c r="G6" s="13" t="str">
        <f>IF(NOT(ISNUMBER(E6)),"",COUNTIFS($A$21:$A$220,"&gt;="&amp;B6,$A$21:$A$220,"&lt;="&amp;C6,$C$21:$C$220,"판매중단",$D$21:$D$220,IF(D6="제외","&lt;&gt;행사",IF(D6="행사일만","행사","&lt;&gt;~"))))</f>
        <v/>
      </c>
      <c r="H6" s="13" t="str">
        <f>IF(NOT(ISNUMBER(E6)),"",E6-F6-G6)</f>
        <v/>
      </c>
      <c r="I6" s="13" t="str">
        <f>IF(NOT(ISNUMBER(E6)),"",SUMIFS($B$21:$B$220,$A$21:$A$220,"&gt;="&amp;B6,$A$21:$A$220,"&lt;="&amp;C6,$D$21:$D$220,IF(D6="제외","&lt;&gt;행사",IF(D6="행사일만","행사","&lt;&gt;~"))))</f>
        <v/>
      </c>
      <c r="J6" s="13" t="str">
        <f>IF(NOT(ISNUMBER(E6)),"",SUMIFS($E$21:$E$220,$A$21:$A$220,"&gt;="&amp;B6,$A$21:$A$220,"&lt;="&amp;C6,$D$21:$D$220,IF(D6="제외","&lt;&gt;행사",IF(D6="행사일만","행사","&lt;&gt;~"))))</f>
        <v/>
      </c>
      <c r="K6" s="27" t="str">
        <f>IF(NOT(ISNUMBER(H6)),"계산 불가",IF(H6&lt;=0,"계산 불가",IF(J6&gt;I6,"계산 불가",(I6-J6)/H6)))</f>
        <v>계산 불가</v>
      </c>
      <c r="L6" s="4" t="str">
        <f>IF(A6="","",IF(OR(B6="",C6=""),"기간 미입력",IF(NOT(ISNUMBER(E6)),E6,IF(AND(D6&lt;&gt;"제외",D6&lt;&gt;"행사일만",E6&lt;&gt;C6-B6+1),"일별 표 범위 밖 날짜 있음",IF(H6&lt;=0,"계산 불가(판매 가능 일수 0)",IF(J6&gt;I6,"제외 수량이 출고 수량보다 큼",IF(H6&lt;상품·기준!$C$27,"관찰 부족(판매 가능 일수 "&amp;H6&amp;"일, 기준 "&amp;상품·기준!$C$27&amp;"일 미만)",IF(K6=0,"판매 0: 소진 계산 불가","정상"))))))))</f>
        <v/>
      </c>
    </row>
    <row r="7" spans="1:12">
      <c r="A7" s="3"/>
      <c r="B7" s="7"/>
      <c r="C7" s="7"/>
      <c r="D7" s="3"/>
      <c r="E7" s="13" t="str">
        <f>IF(OR(B7="",C7=""),"",IF(C7&lt;B7,"종료일이 시작일보다 앞",COUNTIFS($A$21:$A$220,"&gt;="&amp;B7,$A$21:$A$220,"&lt;="&amp;C7,$D$21:$D$220,IF(D7="제외","&lt;&gt;행사",IF(D7="행사일만","행사","&lt;&gt;~")))))</f>
        <v/>
      </c>
      <c r="F7" s="13" t="str">
        <f>IF(NOT(ISNUMBER(E7)),"",COUNTIFS($A$21:$A$220,"&gt;="&amp;B7,$A$21:$A$220,"&lt;="&amp;C7,$C$21:$C$220,"품절",$D$21:$D$220,IF(D7="제외","&lt;&gt;행사",IF(D7="행사일만","행사","&lt;&gt;~"))))</f>
        <v/>
      </c>
      <c r="G7" s="13" t="str">
        <f>IF(NOT(ISNUMBER(E7)),"",COUNTIFS($A$21:$A$220,"&gt;="&amp;B7,$A$21:$A$220,"&lt;="&amp;C7,$C$21:$C$220,"판매중단",$D$21:$D$220,IF(D7="제외","&lt;&gt;행사",IF(D7="행사일만","행사","&lt;&gt;~"))))</f>
        <v/>
      </c>
      <c r="H7" s="13" t="str">
        <f>IF(NOT(ISNUMBER(E7)),"",E7-F7-G7)</f>
        <v/>
      </c>
      <c r="I7" s="13" t="str">
        <f>IF(NOT(ISNUMBER(E7)),"",SUMIFS($B$21:$B$220,$A$21:$A$220,"&gt;="&amp;B7,$A$21:$A$220,"&lt;="&amp;C7,$D$21:$D$220,IF(D7="제외","&lt;&gt;행사",IF(D7="행사일만","행사","&lt;&gt;~"))))</f>
        <v/>
      </c>
      <c r="J7" s="13" t="str">
        <f>IF(NOT(ISNUMBER(E7)),"",SUMIFS($E$21:$E$220,$A$21:$A$220,"&gt;="&amp;B7,$A$21:$A$220,"&lt;="&amp;C7,$D$21:$D$220,IF(D7="제외","&lt;&gt;행사",IF(D7="행사일만","행사","&lt;&gt;~"))))</f>
        <v/>
      </c>
      <c r="K7" s="27" t="str">
        <f>IF(NOT(ISNUMBER(H7)),"계산 불가",IF(H7&lt;=0,"계산 불가",IF(J7&gt;I7,"계산 불가",(I7-J7)/H7)))</f>
        <v>계산 불가</v>
      </c>
      <c r="L7" s="4" t="str">
        <f>IF(A7="","",IF(OR(B7="",C7=""),"기간 미입력",IF(NOT(ISNUMBER(E7)),E7,IF(AND(D7&lt;&gt;"제외",D7&lt;&gt;"행사일만",E7&lt;&gt;C7-B7+1),"일별 표 범위 밖 날짜 있음",IF(H7&lt;=0,"계산 불가(판매 가능 일수 0)",IF(J7&gt;I7,"제외 수량이 출고 수량보다 큼",IF(H7&lt;상품·기준!$C$27,"관찰 부족(판매 가능 일수 "&amp;H7&amp;"일, 기준 "&amp;상품·기준!$C$27&amp;"일 미만)",IF(K7=0,"판매 0: 소진 계산 불가","정상"))))))))</f>
        <v/>
      </c>
    </row>
    <row r="8" spans="1:12">
      <c r="A8" s="3"/>
      <c r="B8" s="7"/>
      <c r="C8" s="7"/>
      <c r="D8" s="3"/>
      <c r="E8" s="13" t="str">
        <f>IF(OR(B8="",C8=""),"",IF(C8&lt;B8,"종료일이 시작일보다 앞",COUNTIFS($A$21:$A$220,"&gt;="&amp;B8,$A$21:$A$220,"&lt;="&amp;C8,$D$21:$D$220,IF(D8="제외","&lt;&gt;행사",IF(D8="행사일만","행사","&lt;&gt;~")))))</f>
        <v/>
      </c>
      <c r="F8" s="13" t="str">
        <f>IF(NOT(ISNUMBER(E8)),"",COUNTIFS($A$21:$A$220,"&gt;="&amp;B8,$A$21:$A$220,"&lt;="&amp;C8,$C$21:$C$220,"품절",$D$21:$D$220,IF(D8="제외","&lt;&gt;행사",IF(D8="행사일만","행사","&lt;&gt;~"))))</f>
        <v/>
      </c>
      <c r="G8" s="13" t="str">
        <f>IF(NOT(ISNUMBER(E8)),"",COUNTIFS($A$21:$A$220,"&gt;="&amp;B8,$A$21:$A$220,"&lt;="&amp;C8,$C$21:$C$220,"판매중단",$D$21:$D$220,IF(D8="제외","&lt;&gt;행사",IF(D8="행사일만","행사","&lt;&gt;~"))))</f>
        <v/>
      </c>
      <c r="H8" s="13" t="str">
        <f>IF(NOT(ISNUMBER(E8)),"",E8-F8-G8)</f>
        <v/>
      </c>
      <c r="I8" s="13" t="str">
        <f>IF(NOT(ISNUMBER(E8)),"",SUMIFS($B$21:$B$220,$A$21:$A$220,"&gt;="&amp;B8,$A$21:$A$220,"&lt;="&amp;C8,$D$21:$D$220,IF(D8="제외","&lt;&gt;행사",IF(D8="행사일만","행사","&lt;&gt;~"))))</f>
        <v/>
      </c>
      <c r="J8" s="13" t="str">
        <f>IF(NOT(ISNUMBER(E8)),"",SUMIFS($E$21:$E$220,$A$21:$A$220,"&gt;="&amp;B8,$A$21:$A$220,"&lt;="&amp;C8,$D$21:$D$220,IF(D8="제외","&lt;&gt;행사",IF(D8="행사일만","행사","&lt;&gt;~"))))</f>
        <v/>
      </c>
      <c r="K8" s="27" t="str">
        <f>IF(NOT(ISNUMBER(H8)),"계산 불가",IF(H8&lt;=0,"계산 불가",IF(J8&gt;I8,"계산 불가",(I8-J8)/H8)))</f>
        <v>계산 불가</v>
      </c>
      <c r="L8" s="4" t="str">
        <f>IF(A8="","",IF(OR(B8="",C8=""),"기간 미입력",IF(NOT(ISNUMBER(E8)),E8,IF(AND(D8&lt;&gt;"제외",D8&lt;&gt;"행사일만",E8&lt;&gt;C8-B8+1),"일별 표 범위 밖 날짜 있음",IF(H8&lt;=0,"계산 불가(판매 가능 일수 0)",IF(J8&gt;I8,"제외 수량이 출고 수량보다 큼",IF(H8&lt;상품·기준!$C$27,"관찰 부족(판매 가능 일수 "&amp;H8&amp;"일, 기준 "&amp;상품·기준!$C$27&amp;"일 미만)",IF(K8=0,"판매 0: 소진 계산 불가","정상"))))))))</f>
        <v/>
      </c>
    </row>
    <row r="9" spans="1:12">
      <c r="A9" s="3"/>
      <c r="B9" s="7"/>
      <c r="C9" s="7"/>
      <c r="D9" s="3"/>
      <c r="E9" s="13" t="str">
        <f>IF(OR(B9="",C9=""),"",IF(C9&lt;B9,"종료일이 시작일보다 앞",COUNTIFS($A$21:$A$220,"&gt;="&amp;B9,$A$21:$A$220,"&lt;="&amp;C9,$D$21:$D$220,IF(D9="제외","&lt;&gt;행사",IF(D9="행사일만","행사","&lt;&gt;~")))))</f>
        <v/>
      </c>
      <c r="F9" s="13" t="str">
        <f>IF(NOT(ISNUMBER(E9)),"",COUNTIFS($A$21:$A$220,"&gt;="&amp;B9,$A$21:$A$220,"&lt;="&amp;C9,$C$21:$C$220,"품절",$D$21:$D$220,IF(D9="제외","&lt;&gt;행사",IF(D9="행사일만","행사","&lt;&gt;~"))))</f>
        <v/>
      </c>
      <c r="G9" s="13" t="str">
        <f>IF(NOT(ISNUMBER(E9)),"",COUNTIFS($A$21:$A$220,"&gt;="&amp;B9,$A$21:$A$220,"&lt;="&amp;C9,$C$21:$C$220,"판매중단",$D$21:$D$220,IF(D9="제외","&lt;&gt;행사",IF(D9="행사일만","행사","&lt;&gt;~"))))</f>
        <v/>
      </c>
      <c r="H9" s="13" t="str">
        <f>IF(NOT(ISNUMBER(E9)),"",E9-F9-G9)</f>
        <v/>
      </c>
      <c r="I9" s="13" t="str">
        <f>IF(NOT(ISNUMBER(E9)),"",SUMIFS($B$21:$B$220,$A$21:$A$220,"&gt;="&amp;B9,$A$21:$A$220,"&lt;="&amp;C9,$D$21:$D$220,IF(D9="제외","&lt;&gt;행사",IF(D9="행사일만","행사","&lt;&gt;~"))))</f>
        <v/>
      </c>
      <c r="J9" s="13" t="str">
        <f>IF(NOT(ISNUMBER(E9)),"",SUMIFS($E$21:$E$220,$A$21:$A$220,"&gt;="&amp;B9,$A$21:$A$220,"&lt;="&amp;C9,$D$21:$D$220,IF(D9="제외","&lt;&gt;행사",IF(D9="행사일만","행사","&lt;&gt;~"))))</f>
        <v/>
      </c>
      <c r="K9" s="27" t="str">
        <f>IF(NOT(ISNUMBER(H9)),"계산 불가",IF(H9&lt;=0,"계산 불가",IF(J9&gt;I9,"계산 불가",(I9-J9)/H9)))</f>
        <v>계산 불가</v>
      </c>
      <c r="L9" s="4" t="str">
        <f>IF(A9="","",IF(OR(B9="",C9=""),"기간 미입력",IF(NOT(ISNUMBER(E9)),E9,IF(AND(D9&lt;&gt;"제외",D9&lt;&gt;"행사일만",E9&lt;&gt;C9-B9+1),"일별 표 범위 밖 날짜 있음",IF(H9&lt;=0,"계산 불가(판매 가능 일수 0)",IF(J9&gt;I9,"제외 수량이 출고 수량보다 큼",IF(H9&lt;상품·기준!$C$27,"관찰 부족(판매 가능 일수 "&amp;H9&amp;"일, 기준 "&amp;상품·기준!$C$27&amp;"일 미만)",IF(K9=0,"판매 0: 소진 계산 불가","정상"))))))))</f>
        <v/>
      </c>
    </row>
    <row r="11" spans="1:12">
      <c r="A11" s="41" t="s">
        <v>260</v>
      </c>
      <c r="B11" s="40"/>
      <c r="C11" s="40"/>
      <c r="D11" s="40"/>
      <c r="E11" s="40"/>
      <c r="F11" s="40"/>
      <c r="G11" s="40"/>
      <c r="H11" s="40"/>
      <c r="I11" s="40"/>
      <c r="J11" s="40"/>
      <c r="K11" s="40"/>
      <c r="L11" s="40"/>
    </row>
    <row r="12" spans="1:12" ht="32">
      <c r="A12" s="9" t="s">
        <v>261</v>
      </c>
      <c r="B12" s="9" t="s">
        <v>258</v>
      </c>
      <c r="C12" s="9" t="s">
        <v>181</v>
      </c>
      <c r="D12" s="9" t="s">
        <v>262</v>
      </c>
      <c r="E12" s="9" t="s">
        <v>263</v>
      </c>
      <c r="F12" s="9" t="s">
        <v>264</v>
      </c>
      <c r="G12" s="45" t="s">
        <v>135</v>
      </c>
      <c r="H12" s="38"/>
      <c r="I12" s="38"/>
      <c r="J12" s="38"/>
      <c r="K12" s="38"/>
      <c r="L12" s="37"/>
    </row>
    <row r="13" spans="1:12">
      <c r="A13" s="4" t="str">
        <f>IF(A6="","",A6)</f>
        <v/>
      </c>
      <c r="B13" s="27" t="str">
        <f>IF(A6="","",K6)</f>
        <v/>
      </c>
      <c r="C13" s="13" t="str">
        <f>IF(A6="","",재고점검!$B$47)</f>
        <v/>
      </c>
      <c r="D13" s="13" t="str">
        <f>IF(A6="","",IF(AND(ISNUMBER(B13),ISNUMBER(C13)),IF(B13&gt;0,INT(ROUND(C13/B13,9)),"계산 불가(판매 0)"),"계산 불가"))</f>
        <v/>
      </c>
      <c r="E13" s="28" t="str">
        <f>IF(ISNUMBER(D13),상품·기준!$C$13+D13,"")</f>
        <v/>
      </c>
      <c r="F13" s="28" t="str">
        <f>IF(ISNUMBER(D13),상품·기준!$C$13+D13+1,"")</f>
        <v/>
      </c>
      <c r="G13" s="44" t="str">
        <f>IF(NOT(ISNUMBER(D13)),"",IF(LEFT(L6,4)="관찰 부족","관찰 부족: 속도가 흔들릴 수 있는 참고치","참고치: 속도가 이어진다는 가정"))</f>
        <v/>
      </c>
      <c r="H13" s="38"/>
      <c r="I13" s="38"/>
      <c r="J13" s="38"/>
      <c r="K13" s="38"/>
      <c r="L13" s="37"/>
    </row>
    <row r="14" spans="1:12">
      <c r="A14" s="4" t="str">
        <f>IF(A7="","",A7)</f>
        <v/>
      </c>
      <c r="B14" s="27" t="str">
        <f>IF(A7="","",K7)</f>
        <v/>
      </c>
      <c r="C14" s="13" t="str">
        <f>IF(A7="","",재고점검!$B$47)</f>
        <v/>
      </c>
      <c r="D14" s="13" t="str">
        <f>IF(A7="","",IF(AND(ISNUMBER(B14),ISNUMBER(C14)),IF(B14&gt;0,INT(ROUND(C14/B14,9)),"계산 불가(판매 0)"),"계산 불가"))</f>
        <v/>
      </c>
      <c r="E14" s="28" t="str">
        <f>IF(ISNUMBER(D14),상품·기준!$C$13+D14,"")</f>
        <v/>
      </c>
      <c r="F14" s="28" t="str">
        <f>IF(ISNUMBER(D14),상품·기준!$C$13+D14+1,"")</f>
        <v/>
      </c>
      <c r="G14" s="44" t="str">
        <f>IF(NOT(ISNUMBER(D14)),"",IF(LEFT(L7,4)="관찰 부족","관찰 부족: 속도가 흔들릴 수 있는 참고치","참고치: 속도가 이어진다는 가정"))</f>
        <v/>
      </c>
      <c r="H14" s="38"/>
      <c r="I14" s="38"/>
      <c r="J14" s="38"/>
      <c r="K14" s="38"/>
      <c r="L14" s="37"/>
    </row>
    <row r="15" spans="1:12">
      <c r="A15" s="4" t="str">
        <f>IF(A8="","",A8)</f>
        <v/>
      </c>
      <c r="B15" s="27" t="str">
        <f>IF(A8="","",K8)</f>
        <v/>
      </c>
      <c r="C15" s="13" t="str">
        <f>IF(A8="","",재고점검!$B$47)</f>
        <v/>
      </c>
      <c r="D15" s="13" t="str">
        <f>IF(A8="","",IF(AND(ISNUMBER(B15),ISNUMBER(C15)),IF(B15&gt;0,INT(ROUND(C15/B15,9)),"계산 불가(판매 0)"),"계산 불가"))</f>
        <v/>
      </c>
      <c r="E15" s="28" t="str">
        <f>IF(ISNUMBER(D15),상품·기준!$C$13+D15,"")</f>
        <v/>
      </c>
      <c r="F15" s="28" t="str">
        <f>IF(ISNUMBER(D15),상품·기준!$C$13+D15+1,"")</f>
        <v/>
      </c>
      <c r="G15" s="44" t="str">
        <f>IF(NOT(ISNUMBER(D15)),"",IF(LEFT(L8,4)="관찰 부족","관찰 부족: 속도가 흔들릴 수 있는 참고치","참고치: 속도가 이어진다는 가정"))</f>
        <v/>
      </c>
      <c r="H15" s="38"/>
      <c r="I15" s="38"/>
      <c r="J15" s="38"/>
      <c r="K15" s="38"/>
      <c r="L15" s="37"/>
    </row>
    <row r="16" spans="1:12">
      <c r="A16" s="4" t="str">
        <f>IF(A9="","",A9)</f>
        <v/>
      </c>
      <c r="B16" s="27" t="str">
        <f>IF(A9="","",K9)</f>
        <v/>
      </c>
      <c r="C16" s="13" t="str">
        <f>IF(A9="","",재고점검!$B$47)</f>
        <v/>
      </c>
      <c r="D16" s="13" t="str">
        <f>IF(A9="","",IF(AND(ISNUMBER(B16),ISNUMBER(C16)),IF(B16&gt;0,INT(ROUND(C16/B16,9)),"계산 불가(판매 0)"),"계산 불가"))</f>
        <v/>
      </c>
      <c r="E16" s="28" t="str">
        <f>IF(ISNUMBER(D16),상품·기준!$C$13+D16,"")</f>
        <v/>
      </c>
      <c r="F16" s="28" t="str">
        <f>IF(ISNUMBER(D16),상품·기준!$C$13+D16+1,"")</f>
        <v/>
      </c>
      <c r="G16" s="44" t="str">
        <f>IF(NOT(ISNUMBER(D16)),"",IF(LEFT(L9,4)="관찰 부족","관찰 부족: 속도가 흔들릴 수 있는 참고치","참고치: 속도가 이어진다는 가정"))</f>
        <v/>
      </c>
      <c r="H16" s="38"/>
      <c r="I16" s="38"/>
      <c r="J16" s="38"/>
      <c r="K16" s="38"/>
      <c r="L16" s="37"/>
    </row>
    <row r="18" spans="1:12">
      <c r="A18" s="41" t="s">
        <v>265</v>
      </c>
      <c r="B18" s="40"/>
      <c r="C18" s="40"/>
      <c r="D18" s="40"/>
      <c r="E18" s="40"/>
      <c r="F18" s="40"/>
      <c r="G18" s="40"/>
      <c r="H18" s="40"/>
      <c r="I18" s="40"/>
      <c r="J18" s="40"/>
      <c r="K18" s="40"/>
      <c r="L18" s="40"/>
    </row>
    <row r="19" spans="1:12">
      <c r="A19" s="10" t="s">
        <v>15</v>
      </c>
      <c r="B19" s="10" t="s">
        <v>15</v>
      </c>
      <c r="C19" s="5" t="s">
        <v>13</v>
      </c>
      <c r="D19" s="5" t="s">
        <v>13</v>
      </c>
      <c r="E19" s="5" t="s">
        <v>13</v>
      </c>
      <c r="F19" s="5" t="s">
        <v>13</v>
      </c>
    </row>
    <row r="20" spans="1:12">
      <c r="A20" s="9" t="s">
        <v>114</v>
      </c>
      <c r="B20" s="9" t="s">
        <v>266</v>
      </c>
      <c r="C20" s="9" t="s">
        <v>267</v>
      </c>
      <c r="D20" s="9" t="s">
        <v>268</v>
      </c>
      <c r="E20" s="9" t="s">
        <v>257</v>
      </c>
      <c r="F20" s="9" t="s">
        <v>135</v>
      </c>
    </row>
    <row r="21" spans="1:12">
      <c r="A21" s="28" t="str">
        <f>IF(상품·기준!$C$14="","",IF(상품·기준!$C$15="","",IF(상품·기준!$C$14&gt;상품·기준!$C$15,"",상품·기준!$C$14)))</f>
        <v/>
      </c>
      <c r="B21" s="13" t="str">
        <f>IF(A21="","",SUMIFS(입출고기록!$L$7:$L$306,입출고기록!$B$7:$B$306,"판매출고",입출고기록!$A$7:$A$306,A21,입출고기록!$H$7:$H$306,"&lt;&gt;아니오"))</f>
        <v/>
      </c>
      <c r="C21" s="3"/>
      <c r="D21" s="3"/>
      <c r="E21" s="6"/>
      <c r="F21" s="3"/>
    </row>
    <row r="22" spans="1:12">
      <c r="A22" s="28" t="str">
        <f>IF(A21="","",IF(A21+1&gt;상품·기준!$C$15,"",A21+1))</f>
        <v/>
      </c>
      <c r="B22" s="13" t="str">
        <f>IF(A22="","",SUMIFS(입출고기록!$L$7:$L$306,입출고기록!$B$7:$B$306,"판매출고",입출고기록!$A$7:$A$306,A22,입출고기록!$H$7:$H$306,"&lt;&gt;아니오"))</f>
        <v/>
      </c>
      <c r="C22" s="3"/>
      <c r="D22" s="3"/>
      <c r="E22" s="6"/>
      <c r="F22" s="3"/>
    </row>
    <row r="23" spans="1:12">
      <c r="A23" s="28" t="str">
        <f>IF(A22="","",IF(A22+1&gt;상품·기준!$C$15,"",A22+1))</f>
        <v/>
      </c>
      <c r="B23" s="13" t="str">
        <f>IF(A23="","",SUMIFS(입출고기록!$L$7:$L$306,입출고기록!$B$7:$B$306,"판매출고",입출고기록!$A$7:$A$306,A23,입출고기록!$H$7:$H$306,"&lt;&gt;아니오"))</f>
        <v/>
      </c>
      <c r="C23" s="3"/>
      <c r="D23" s="3"/>
      <c r="E23" s="6"/>
      <c r="F23" s="3"/>
    </row>
    <row r="24" spans="1:12">
      <c r="A24" s="28" t="str">
        <f>IF(A23="","",IF(A23+1&gt;상품·기준!$C$15,"",A23+1))</f>
        <v/>
      </c>
      <c r="B24" s="13" t="str">
        <f>IF(A24="","",SUMIFS(입출고기록!$L$7:$L$306,입출고기록!$B$7:$B$306,"판매출고",입출고기록!$A$7:$A$306,A24,입출고기록!$H$7:$H$306,"&lt;&gt;아니오"))</f>
        <v/>
      </c>
      <c r="C24" s="3"/>
      <c r="D24" s="3"/>
      <c r="E24" s="6"/>
      <c r="F24" s="3"/>
    </row>
    <row r="25" spans="1:12">
      <c r="A25" s="28" t="str">
        <f>IF(A24="","",IF(A24+1&gt;상품·기준!$C$15,"",A24+1))</f>
        <v/>
      </c>
      <c r="B25" s="13" t="str">
        <f>IF(A25="","",SUMIFS(입출고기록!$L$7:$L$306,입출고기록!$B$7:$B$306,"판매출고",입출고기록!$A$7:$A$306,A25,입출고기록!$H$7:$H$306,"&lt;&gt;아니오"))</f>
        <v/>
      </c>
      <c r="C25" s="3"/>
      <c r="D25" s="3"/>
      <c r="E25" s="6"/>
      <c r="F25" s="3"/>
    </row>
    <row r="26" spans="1:12">
      <c r="A26" s="28" t="str">
        <f>IF(A25="","",IF(A25+1&gt;상품·기준!$C$15,"",A25+1))</f>
        <v/>
      </c>
      <c r="B26" s="13" t="str">
        <f>IF(A26="","",SUMIFS(입출고기록!$L$7:$L$306,입출고기록!$B$7:$B$306,"판매출고",입출고기록!$A$7:$A$306,A26,입출고기록!$H$7:$H$306,"&lt;&gt;아니오"))</f>
        <v/>
      </c>
      <c r="C26" s="3"/>
      <c r="D26" s="3"/>
      <c r="E26" s="6"/>
      <c r="F26" s="3"/>
    </row>
    <row r="27" spans="1:12">
      <c r="A27" s="28" t="str">
        <f>IF(A26="","",IF(A26+1&gt;상품·기준!$C$15,"",A26+1))</f>
        <v/>
      </c>
      <c r="B27" s="13" t="str">
        <f>IF(A27="","",SUMIFS(입출고기록!$L$7:$L$306,입출고기록!$B$7:$B$306,"판매출고",입출고기록!$A$7:$A$306,A27,입출고기록!$H$7:$H$306,"&lt;&gt;아니오"))</f>
        <v/>
      </c>
      <c r="C27" s="3"/>
      <c r="D27" s="3"/>
      <c r="E27" s="6"/>
      <c r="F27" s="3"/>
    </row>
    <row r="28" spans="1:12">
      <c r="A28" s="28" t="str">
        <f>IF(A27="","",IF(A27+1&gt;상품·기준!$C$15,"",A27+1))</f>
        <v/>
      </c>
      <c r="B28" s="13" t="str">
        <f>IF(A28="","",SUMIFS(입출고기록!$L$7:$L$306,입출고기록!$B$7:$B$306,"판매출고",입출고기록!$A$7:$A$306,A28,입출고기록!$H$7:$H$306,"&lt;&gt;아니오"))</f>
        <v/>
      </c>
      <c r="C28" s="3"/>
      <c r="D28" s="3"/>
      <c r="E28" s="6"/>
      <c r="F28" s="3"/>
    </row>
    <row r="29" spans="1:12">
      <c r="A29" s="28" t="str">
        <f>IF(A28="","",IF(A28+1&gt;상품·기준!$C$15,"",A28+1))</f>
        <v/>
      </c>
      <c r="B29" s="13" t="str">
        <f>IF(A29="","",SUMIFS(입출고기록!$L$7:$L$306,입출고기록!$B$7:$B$306,"판매출고",입출고기록!$A$7:$A$306,A29,입출고기록!$H$7:$H$306,"&lt;&gt;아니오"))</f>
        <v/>
      </c>
      <c r="C29" s="3"/>
      <c r="D29" s="3"/>
      <c r="E29" s="6"/>
      <c r="F29" s="3"/>
    </row>
    <row r="30" spans="1:12">
      <c r="A30" s="28" t="str">
        <f>IF(A29="","",IF(A29+1&gt;상품·기준!$C$15,"",A29+1))</f>
        <v/>
      </c>
      <c r="B30" s="13" t="str">
        <f>IF(A30="","",SUMIFS(입출고기록!$L$7:$L$306,입출고기록!$B$7:$B$306,"판매출고",입출고기록!$A$7:$A$306,A30,입출고기록!$H$7:$H$306,"&lt;&gt;아니오"))</f>
        <v/>
      </c>
      <c r="C30" s="3"/>
      <c r="D30" s="3"/>
      <c r="E30" s="6"/>
      <c r="F30" s="3"/>
    </row>
    <row r="31" spans="1:12">
      <c r="A31" s="28" t="str">
        <f>IF(A30="","",IF(A30+1&gt;상품·기준!$C$15,"",A30+1))</f>
        <v/>
      </c>
      <c r="B31" s="13" t="str">
        <f>IF(A31="","",SUMIFS(입출고기록!$L$7:$L$306,입출고기록!$B$7:$B$306,"판매출고",입출고기록!$A$7:$A$306,A31,입출고기록!$H$7:$H$306,"&lt;&gt;아니오"))</f>
        <v/>
      </c>
      <c r="C31" s="3"/>
      <c r="D31" s="3"/>
      <c r="E31" s="6"/>
      <c r="F31" s="3"/>
    </row>
    <row r="32" spans="1:12">
      <c r="A32" s="28" t="str">
        <f>IF(A31="","",IF(A31+1&gt;상품·기준!$C$15,"",A31+1))</f>
        <v/>
      </c>
      <c r="B32" s="13" t="str">
        <f>IF(A32="","",SUMIFS(입출고기록!$L$7:$L$306,입출고기록!$B$7:$B$306,"판매출고",입출고기록!$A$7:$A$306,A32,입출고기록!$H$7:$H$306,"&lt;&gt;아니오"))</f>
        <v/>
      </c>
      <c r="C32" s="3"/>
      <c r="D32" s="3"/>
      <c r="E32" s="6"/>
      <c r="F32" s="3"/>
    </row>
    <row r="33" spans="1:6">
      <c r="A33" s="28" t="str">
        <f>IF(A32="","",IF(A32+1&gt;상품·기준!$C$15,"",A32+1))</f>
        <v/>
      </c>
      <c r="B33" s="13" t="str">
        <f>IF(A33="","",SUMIFS(입출고기록!$L$7:$L$306,입출고기록!$B$7:$B$306,"판매출고",입출고기록!$A$7:$A$306,A33,입출고기록!$H$7:$H$306,"&lt;&gt;아니오"))</f>
        <v/>
      </c>
      <c r="C33" s="3"/>
      <c r="D33" s="3"/>
      <c r="E33" s="6"/>
      <c r="F33" s="3"/>
    </row>
    <row r="34" spans="1:6">
      <c r="A34" s="28" t="str">
        <f>IF(A33="","",IF(A33+1&gt;상품·기준!$C$15,"",A33+1))</f>
        <v/>
      </c>
      <c r="B34" s="13" t="str">
        <f>IF(A34="","",SUMIFS(입출고기록!$L$7:$L$306,입출고기록!$B$7:$B$306,"판매출고",입출고기록!$A$7:$A$306,A34,입출고기록!$H$7:$H$306,"&lt;&gt;아니오"))</f>
        <v/>
      </c>
      <c r="C34" s="3"/>
      <c r="D34" s="3"/>
      <c r="E34" s="6"/>
      <c r="F34" s="3"/>
    </row>
    <row r="35" spans="1:6">
      <c r="A35" s="28" t="str">
        <f>IF(A34="","",IF(A34+1&gt;상품·기준!$C$15,"",A34+1))</f>
        <v/>
      </c>
      <c r="B35" s="13" t="str">
        <f>IF(A35="","",SUMIFS(입출고기록!$L$7:$L$306,입출고기록!$B$7:$B$306,"판매출고",입출고기록!$A$7:$A$306,A35,입출고기록!$H$7:$H$306,"&lt;&gt;아니오"))</f>
        <v/>
      </c>
      <c r="C35" s="3"/>
      <c r="D35" s="3"/>
      <c r="E35" s="6"/>
      <c r="F35" s="3"/>
    </row>
    <row r="36" spans="1:6">
      <c r="A36" s="28" t="str">
        <f>IF(A35="","",IF(A35+1&gt;상품·기준!$C$15,"",A35+1))</f>
        <v/>
      </c>
      <c r="B36" s="13" t="str">
        <f>IF(A36="","",SUMIFS(입출고기록!$L$7:$L$306,입출고기록!$B$7:$B$306,"판매출고",입출고기록!$A$7:$A$306,A36,입출고기록!$H$7:$H$306,"&lt;&gt;아니오"))</f>
        <v/>
      </c>
      <c r="C36" s="3"/>
      <c r="D36" s="3"/>
      <c r="E36" s="6"/>
      <c r="F36" s="3"/>
    </row>
    <row r="37" spans="1:6">
      <c r="A37" s="28" t="str">
        <f>IF(A36="","",IF(A36+1&gt;상품·기준!$C$15,"",A36+1))</f>
        <v/>
      </c>
      <c r="B37" s="13" t="str">
        <f>IF(A37="","",SUMIFS(입출고기록!$L$7:$L$306,입출고기록!$B$7:$B$306,"판매출고",입출고기록!$A$7:$A$306,A37,입출고기록!$H$7:$H$306,"&lt;&gt;아니오"))</f>
        <v/>
      </c>
      <c r="C37" s="3"/>
      <c r="D37" s="3"/>
      <c r="E37" s="6"/>
      <c r="F37" s="3"/>
    </row>
    <row r="38" spans="1:6">
      <c r="A38" s="28" t="str">
        <f>IF(A37="","",IF(A37+1&gt;상품·기준!$C$15,"",A37+1))</f>
        <v/>
      </c>
      <c r="B38" s="13" t="str">
        <f>IF(A38="","",SUMIFS(입출고기록!$L$7:$L$306,입출고기록!$B$7:$B$306,"판매출고",입출고기록!$A$7:$A$306,A38,입출고기록!$H$7:$H$306,"&lt;&gt;아니오"))</f>
        <v/>
      </c>
      <c r="C38" s="3"/>
      <c r="D38" s="3"/>
      <c r="E38" s="6"/>
      <c r="F38" s="3"/>
    </row>
    <row r="39" spans="1:6">
      <c r="A39" s="28" t="str">
        <f>IF(A38="","",IF(A38+1&gt;상품·기준!$C$15,"",A38+1))</f>
        <v/>
      </c>
      <c r="B39" s="13" t="str">
        <f>IF(A39="","",SUMIFS(입출고기록!$L$7:$L$306,입출고기록!$B$7:$B$306,"판매출고",입출고기록!$A$7:$A$306,A39,입출고기록!$H$7:$H$306,"&lt;&gt;아니오"))</f>
        <v/>
      </c>
      <c r="C39" s="3"/>
      <c r="D39" s="3"/>
      <c r="E39" s="6"/>
      <c r="F39" s="3"/>
    </row>
    <row r="40" spans="1:6">
      <c r="A40" s="28" t="str">
        <f>IF(A39="","",IF(A39+1&gt;상품·기준!$C$15,"",A39+1))</f>
        <v/>
      </c>
      <c r="B40" s="13" t="str">
        <f>IF(A40="","",SUMIFS(입출고기록!$L$7:$L$306,입출고기록!$B$7:$B$306,"판매출고",입출고기록!$A$7:$A$306,A40,입출고기록!$H$7:$H$306,"&lt;&gt;아니오"))</f>
        <v/>
      </c>
      <c r="C40" s="3"/>
      <c r="D40" s="3"/>
      <c r="E40" s="6"/>
      <c r="F40" s="3"/>
    </row>
    <row r="41" spans="1:6">
      <c r="A41" s="28" t="str">
        <f>IF(A40="","",IF(A40+1&gt;상품·기준!$C$15,"",A40+1))</f>
        <v/>
      </c>
      <c r="B41" s="13" t="str">
        <f>IF(A41="","",SUMIFS(입출고기록!$L$7:$L$306,입출고기록!$B$7:$B$306,"판매출고",입출고기록!$A$7:$A$306,A41,입출고기록!$H$7:$H$306,"&lt;&gt;아니오"))</f>
        <v/>
      </c>
      <c r="C41" s="3"/>
      <c r="D41" s="3"/>
      <c r="E41" s="6"/>
      <c r="F41" s="3"/>
    </row>
    <row r="42" spans="1:6">
      <c r="A42" s="28" t="str">
        <f>IF(A41="","",IF(A41+1&gt;상품·기준!$C$15,"",A41+1))</f>
        <v/>
      </c>
      <c r="B42" s="13" t="str">
        <f>IF(A42="","",SUMIFS(입출고기록!$L$7:$L$306,입출고기록!$B$7:$B$306,"판매출고",입출고기록!$A$7:$A$306,A42,입출고기록!$H$7:$H$306,"&lt;&gt;아니오"))</f>
        <v/>
      </c>
      <c r="C42" s="3"/>
      <c r="D42" s="3"/>
      <c r="E42" s="6"/>
      <c r="F42" s="3"/>
    </row>
    <row r="43" spans="1:6">
      <c r="A43" s="28" t="str">
        <f>IF(A42="","",IF(A42+1&gt;상품·기준!$C$15,"",A42+1))</f>
        <v/>
      </c>
      <c r="B43" s="13" t="str">
        <f>IF(A43="","",SUMIFS(입출고기록!$L$7:$L$306,입출고기록!$B$7:$B$306,"판매출고",입출고기록!$A$7:$A$306,A43,입출고기록!$H$7:$H$306,"&lt;&gt;아니오"))</f>
        <v/>
      </c>
      <c r="C43" s="3"/>
      <c r="D43" s="3"/>
      <c r="E43" s="6"/>
      <c r="F43" s="3"/>
    </row>
    <row r="44" spans="1:6">
      <c r="A44" s="28" t="str">
        <f>IF(A43="","",IF(A43+1&gt;상품·기준!$C$15,"",A43+1))</f>
        <v/>
      </c>
      <c r="B44" s="13" t="str">
        <f>IF(A44="","",SUMIFS(입출고기록!$L$7:$L$306,입출고기록!$B$7:$B$306,"판매출고",입출고기록!$A$7:$A$306,A44,입출고기록!$H$7:$H$306,"&lt;&gt;아니오"))</f>
        <v/>
      </c>
      <c r="C44" s="3"/>
      <c r="D44" s="3"/>
      <c r="E44" s="6"/>
      <c r="F44" s="3"/>
    </row>
    <row r="45" spans="1:6">
      <c r="A45" s="28" t="str">
        <f>IF(A44="","",IF(A44+1&gt;상품·기준!$C$15,"",A44+1))</f>
        <v/>
      </c>
      <c r="B45" s="13" t="str">
        <f>IF(A45="","",SUMIFS(입출고기록!$L$7:$L$306,입출고기록!$B$7:$B$306,"판매출고",입출고기록!$A$7:$A$306,A45,입출고기록!$H$7:$H$306,"&lt;&gt;아니오"))</f>
        <v/>
      </c>
      <c r="C45" s="3"/>
      <c r="D45" s="3"/>
      <c r="E45" s="6"/>
      <c r="F45" s="3"/>
    </row>
    <row r="46" spans="1:6">
      <c r="A46" s="28" t="str">
        <f>IF(A45="","",IF(A45+1&gt;상품·기준!$C$15,"",A45+1))</f>
        <v/>
      </c>
      <c r="B46" s="13" t="str">
        <f>IF(A46="","",SUMIFS(입출고기록!$L$7:$L$306,입출고기록!$B$7:$B$306,"판매출고",입출고기록!$A$7:$A$306,A46,입출고기록!$H$7:$H$306,"&lt;&gt;아니오"))</f>
        <v/>
      </c>
      <c r="C46" s="3"/>
      <c r="D46" s="3"/>
      <c r="E46" s="6"/>
      <c r="F46" s="3"/>
    </row>
    <row r="47" spans="1:6">
      <c r="A47" s="28" t="str">
        <f>IF(A46="","",IF(A46+1&gt;상품·기준!$C$15,"",A46+1))</f>
        <v/>
      </c>
      <c r="B47" s="13" t="str">
        <f>IF(A47="","",SUMIFS(입출고기록!$L$7:$L$306,입출고기록!$B$7:$B$306,"판매출고",입출고기록!$A$7:$A$306,A47,입출고기록!$H$7:$H$306,"&lt;&gt;아니오"))</f>
        <v/>
      </c>
      <c r="C47" s="3"/>
      <c r="D47" s="3"/>
      <c r="E47" s="6"/>
      <c r="F47" s="3"/>
    </row>
    <row r="48" spans="1:6">
      <c r="A48" s="28" t="str">
        <f>IF(A47="","",IF(A47+1&gt;상품·기준!$C$15,"",A47+1))</f>
        <v/>
      </c>
      <c r="B48" s="13" t="str">
        <f>IF(A48="","",SUMIFS(입출고기록!$L$7:$L$306,입출고기록!$B$7:$B$306,"판매출고",입출고기록!$A$7:$A$306,A48,입출고기록!$H$7:$H$306,"&lt;&gt;아니오"))</f>
        <v/>
      </c>
      <c r="C48" s="3"/>
      <c r="D48" s="3"/>
      <c r="E48" s="6"/>
      <c r="F48" s="3"/>
    </row>
    <row r="49" spans="1:6">
      <c r="A49" s="28" t="str">
        <f>IF(A48="","",IF(A48+1&gt;상품·기준!$C$15,"",A48+1))</f>
        <v/>
      </c>
      <c r="B49" s="13" t="str">
        <f>IF(A49="","",SUMIFS(입출고기록!$L$7:$L$306,입출고기록!$B$7:$B$306,"판매출고",입출고기록!$A$7:$A$306,A49,입출고기록!$H$7:$H$306,"&lt;&gt;아니오"))</f>
        <v/>
      </c>
      <c r="C49" s="3"/>
      <c r="D49" s="3"/>
      <c r="E49" s="6"/>
      <c r="F49" s="3"/>
    </row>
    <row r="50" spans="1:6">
      <c r="A50" s="28" t="str">
        <f>IF(A49="","",IF(A49+1&gt;상품·기준!$C$15,"",A49+1))</f>
        <v/>
      </c>
      <c r="B50" s="13" t="str">
        <f>IF(A50="","",SUMIFS(입출고기록!$L$7:$L$306,입출고기록!$B$7:$B$306,"판매출고",입출고기록!$A$7:$A$306,A50,입출고기록!$H$7:$H$306,"&lt;&gt;아니오"))</f>
        <v/>
      </c>
      <c r="C50" s="3"/>
      <c r="D50" s="3"/>
      <c r="E50" s="6"/>
      <c r="F50" s="3"/>
    </row>
    <row r="51" spans="1:6">
      <c r="A51" s="28" t="str">
        <f>IF(A50="","",IF(A50+1&gt;상품·기준!$C$15,"",A50+1))</f>
        <v/>
      </c>
      <c r="B51" s="13" t="str">
        <f>IF(A51="","",SUMIFS(입출고기록!$L$7:$L$306,입출고기록!$B$7:$B$306,"판매출고",입출고기록!$A$7:$A$306,A51,입출고기록!$H$7:$H$306,"&lt;&gt;아니오"))</f>
        <v/>
      </c>
      <c r="C51" s="3"/>
      <c r="D51" s="3"/>
      <c r="E51" s="6"/>
      <c r="F51" s="3"/>
    </row>
    <row r="52" spans="1:6">
      <c r="A52" s="28" t="str">
        <f>IF(A51="","",IF(A51+1&gt;상품·기준!$C$15,"",A51+1))</f>
        <v/>
      </c>
      <c r="B52" s="13" t="str">
        <f>IF(A52="","",SUMIFS(입출고기록!$L$7:$L$306,입출고기록!$B$7:$B$306,"판매출고",입출고기록!$A$7:$A$306,A52,입출고기록!$H$7:$H$306,"&lt;&gt;아니오"))</f>
        <v/>
      </c>
      <c r="C52" s="3"/>
      <c r="D52" s="3"/>
      <c r="E52" s="6"/>
      <c r="F52" s="3"/>
    </row>
    <row r="53" spans="1:6">
      <c r="A53" s="28" t="str">
        <f>IF(A52="","",IF(A52+1&gt;상품·기준!$C$15,"",A52+1))</f>
        <v/>
      </c>
      <c r="B53" s="13" t="str">
        <f>IF(A53="","",SUMIFS(입출고기록!$L$7:$L$306,입출고기록!$B$7:$B$306,"판매출고",입출고기록!$A$7:$A$306,A53,입출고기록!$H$7:$H$306,"&lt;&gt;아니오"))</f>
        <v/>
      </c>
      <c r="C53" s="3"/>
      <c r="D53" s="3"/>
      <c r="E53" s="6"/>
      <c r="F53" s="3"/>
    </row>
    <row r="54" spans="1:6">
      <c r="A54" s="28" t="str">
        <f>IF(A53="","",IF(A53+1&gt;상품·기준!$C$15,"",A53+1))</f>
        <v/>
      </c>
      <c r="B54" s="13" t="str">
        <f>IF(A54="","",SUMIFS(입출고기록!$L$7:$L$306,입출고기록!$B$7:$B$306,"판매출고",입출고기록!$A$7:$A$306,A54,입출고기록!$H$7:$H$306,"&lt;&gt;아니오"))</f>
        <v/>
      </c>
      <c r="C54" s="3"/>
      <c r="D54" s="3"/>
      <c r="E54" s="6"/>
      <c r="F54" s="3"/>
    </row>
    <row r="55" spans="1:6">
      <c r="A55" s="28" t="str">
        <f>IF(A54="","",IF(A54+1&gt;상품·기준!$C$15,"",A54+1))</f>
        <v/>
      </c>
      <c r="B55" s="13" t="str">
        <f>IF(A55="","",SUMIFS(입출고기록!$L$7:$L$306,입출고기록!$B$7:$B$306,"판매출고",입출고기록!$A$7:$A$306,A55,입출고기록!$H$7:$H$306,"&lt;&gt;아니오"))</f>
        <v/>
      </c>
      <c r="C55" s="3"/>
      <c r="D55" s="3"/>
      <c r="E55" s="6"/>
      <c r="F55" s="3"/>
    </row>
    <row r="56" spans="1:6">
      <c r="A56" s="28" t="str">
        <f>IF(A55="","",IF(A55+1&gt;상품·기준!$C$15,"",A55+1))</f>
        <v/>
      </c>
      <c r="B56" s="13" t="str">
        <f>IF(A56="","",SUMIFS(입출고기록!$L$7:$L$306,입출고기록!$B$7:$B$306,"판매출고",입출고기록!$A$7:$A$306,A56,입출고기록!$H$7:$H$306,"&lt;&gt;아니오"))</f>
        <v/>
      </c>
      <c r="C56" s="3"/>
      <c r="D56" s="3"/>
      <c r="E56" s="6"/>
      <c r="F56" s="3"/>
    </row>
    <row r="57" spans="1:6">
      <c r="A57" s="28" t="str">
        <f>IF(A56="","",IF(A56+1&gt;상품·기준!$C$15,"",A56+1))</f>
        <v/>
      </c>
      <c r="B57" s="13" t="str">
        <f>IF(A57="","",SUMIFS(입출고기록!$L$7:$L$306,입출고기록!$B$7:$B$306,"판매출고",입출고기록!$A$7:$A$306,A57,입출고기록!$H$7:$H$306,"&lt;&gt;아니오"))</f>
        <v/>
      </c>
      <c r="C57" s="3"/>
      <c r="D57" s="3"/>
      <c r="E57" s="6"/>
      <c r="F57" s="3"/>
    </row>
    <row r="58" spans="1:6">
      <c r="A58" s="28" t="str">
        <f>IF(A57="","",IF(A57+1&gt;상품·기준!$C$15,"",A57+1))</f>
        <v/>
      </c>
      <c r="B58" s="13" t="str">
        <f>IF(A58="","",SUMIFS(입출고기록!$L$7:$L$306,입출고기록!$B$7:$B$306,"판매출고",입출고기록!$A$7:$A$306,A58,입출고기록!$H$7:$H$306,"&lt;&gt;아니오"))</f>
        <v/>
      </c>
      <c r="C58" s="3"/>
      <c r="D58" s="3"/>
      <c r="E58" s="6"/>
      <c r="F58" s="3"/>
    </row>
    <row r="59" spans="1:6">
      <c r="A59" s="28" t="str">
        <f>IF(A58="","",IF(A58+1&gt;상품·기준!$C$15,"",A58+1))</f>
        <v/>
      </c>
      <c r="B59" s="13" t="str">
        <f>IF(A59="","",SUMIFS(입출고기록!$L$7:$L$306,입출고기록!$B$7:$B$306,"판매출고",입출고기록!$A$7:$A$306,A59,입출고기록!$H$7:$H$306,"&lt;&gt;아니오"))</f>
        <v/>
      </c>
      <c r="C59" s="3"/>
      <c r="D59" s="3"/>
      <c r="E59" s="6"/>
      <c r="F59" s="3"/>
    </row>
    <row r="60" spans="1:6">
      <c r="A60" s="28" t="str">
        <f>IF(A59="","",IF(A59+1&gt;상품·기준!$C$15,"",A59+1))</f>
        <v/>
      </c>
      <c r="B60" s="13" t="str">
        <f>IF(A60="","",SUMIFS(입출고기록!$L$7:$L$306,입출고기록!$B$7:$B$306,"판매출고",입출고기록!$A$7:$A$306,A60,입출고기록!$H$7:$H$306,"&lt;&gt;아니오"))</f>
        <v/>
      </c>
      <c r="C60" s="3"/>
      <c r="D60" s="3"/>
      <c r="E60" s="6"/>
      <c r="F60" s="3"/>
    </row>
    <row r="61" spans="1:6">
      <c r="A61" s="28" t="str">
        <f>IF(A60="","",IF(A60+1&gt;상품·기준!$C$15,"",A60+1))</f>
        <v/>
      </c>
      <c r="B61" s="13" t="str">
        <f>IF(A61="","",SUMIFS(입출고기록!$L$7:$L$306,입출고기록!$B$7:$B$306,"판매출고",입출고기록!$A$7:$A$306,A61,입출고기록!$H$7:$H$306,"&lt;&gt;아니오"))</f>
        <v/>
      </c>
      <c r="C61" s="3"/>
      <c r="D61" s="3"/>
      <c r="E61" s="6"/>
      <c r="F61" s="3"/>
    </row>
    <row r="62" spans="1:6">
      <c r="A62" s="28" t="str">
        <f>IF(A61="","",IF(A61+1&gt;상품·기준!$C$15,"",A61+1))</f>
        <v/>
      </c>
      <c r="B62" s="13" t="str">
        <f>IF(A62="","",SUMIFS(입출고기록!$L$7:$L$306,입출고기록!$B$7:$B$306,"판매출고",입출고기록!$A$7:$A$306,A62,입출고기록!$H$7:$H$306,"&lt;&gt;아니오"))</f>
        <v/>
      </c>
      <c r="C62" s="3"/>
      <c r="D62" s="3"/>
      <c r="E62" s="6"/>
      <c r="F62" s="3"/>
    </row>
    <row r="63" spans="1:6">
      <c r="A63" s="28" t="str">
        <f>IF(A62="","",IF(A62+1&gt;상품·기준!$C$15,"",A62+1))</f>
        <v/>
      </c>
      <c r="B63" s="13" t="str">
        <f>IF(A63="","",SUMIFS(입출고기록!$L$7:$L$306,입출고기록!$B$7:$B$306,"판매출고",입출고기록!$A$7:$A$306,A63,입출고기록!$H$7:$H$306,"&lt;&gt;아니오"))</f>
        <v/>
      </c>
      <c r="C63" s="3"/>
      <c r="D63" s="3"/>
      <c r="E63" s="6"/>
      <c r="F63" s="3"/>
    </row>
    <row r="64" spans="1:6">
      <c r="A64" s="28" t="str">
        <f>IF(A63="","",IF(A63+1&gt;상품·기준!$C$15,"",A63+1))</f>
        <v/>
      </c>
      <c r="B64" s="13" t="str">
        <f>IF(A64="","",SUMIFS(입출고기록!$L$7:$L$306,입출고기록!$B$7:$B$306,"판매출고",입출고기록!$A$7:$A$306,A64,입출고기록!$H$7:$H$306,"&lt;&gt;아니오"))</f>
        <v/>
      </c>
      <c r="C64" s="3"/>
      <c r="D64" s="3"/>
      <c r="E64" s="6"/>
      <c r="F64" s="3"/>
    </row>
    <row r="65" spans="1:6">
      <c r="A65" s="28" t="str">
        <f>IF(A64="","",IF(A64+1&gt;상품·기준!$C$15,"",A64+1))</f>
        <v/>
      </c>
      <c r="B65" s="13" t="str">
        <f>IF(A65="","",SUMIFS(입출고기록!$L$7:$L$306,입출고기록!$B$7:$B$306,"판매출고",입출고기록!$A$7:$A$306,A65,입출고기록!$H$7:$H$306,"&lt;&gt;아니오"))</f>
        <v/>
      </c>
      <c r="C65" s="3"/>
      <c r="D65" s="3"/>
      <c r="E65" s="6"/>
      <c r="F65" s="3"/>
    </row>
    <row r="66" spans="1:6">
      <c r="A66" s="28" t="str">
        <f>IF(A65="","",IF(A65+1&gt;상품·기준!$C$15,"",A65+1))</f>
        <v/>
      </c>
      <c r="B66" s="13" t="str">
        <f>IF(A66="","",SUMIFS(입출고기록!$L$7:$L$306,입출고기록!$B$7:$B$306,"판매출고",입출고기록!$A$7:$A$306,A66,입출고기록!$H$7:$H$306,"&lt;&gt;아니오"))</f>
        <v/>
      </c>
      <c r="C66" s="3"/>
      <c r="D66" s="3"/>
      <c r="E66" s="6"/>
      <c r="F66" s="3"/>
    </row>
    <row r="67" spans="1:6">
      <c r="A67" s="28" t="str">
        <f>IF(A66="","",IF(A66+1&gt;상품·기준!$C$15,"",A66+1))</f>
        <v/>
      </c>
      <c r="B67" s="13" t="str">
        <f>IF(A67="","",SUMIFS(입출고기록!$L$7:$L$306,입출고기록!$B$7:$B$306,"판매출고",입출고기록!$A$7:$A$306,A67,입출고기록!$H$7:$H$306,"&lt;&gt;아니오"))</f>
        <v/>
      </c>
      <c r="C67" s="3"/>
      <c r="D67" s="3"/>
      <c r="E67" s="6"/>
      <c r="F67" s="3"/>
    </row>
    <row r="68" spans="1:6">
      <c r="A68" s="28" t="str">
        <f>IF(A67="","",IF(A67+1&gt;상품·기준!$C$15,"",A67+1))</f>
        <v/>
      </c>
      <c r="B68" s="13" t="str">
        <f>IF(A68="","",SUMIFS(입출고기록!$L$7:$L$306,입출고기록!$B$7:$B$306,"판매출고",입출고기록!$A$7:$A$306,A68,입출고기록!$H$7:$H$306,"&lt;&gt;아니오"))</f>
        <v/>
      </c>
      <c r="C68" s="3"/>
      <c r="D68" s="3"/>
      <c r="E68" s="6"/>
      <c r="F68" s="3"/>
    </row>
    <row r="69" spans="1:6">
      <c r="A69" s="28" t="str">
        <f>IF(A68="","",IF(A68+1&gt;상품·기준!$C$15,"",A68+1))</f>
        <v/>
      </c>
      <c r="B69" s="13" t="str">
        <f>IF(A69="","",SUMIFS(입출고기록!$L$7:$L$306,입출고기록!$B$7:$B$306,"판매출고",입출고기록!$A$7:$A$306,A69,입출고기록!$H$7:$H$306,"&lt;&gt;아니오"))</f>
        <v/>
      </c>
      <c r="C69" s="3"/>
      <c r="D69" s="3"/>
      <c r="E69" s="6"/>
      <c r="F69" s="3"/>
    </row>
    <row r="70" spans="1:6">
      <c r="A70" s="28" t="str">
        <f>IF(A69="","",IF(A69+1&gt;상품·기준!$C$15,"",A69+1))</f>
        <v/>
      </c>
      <c r="B70" s="13" t="str">
        <f>IF(A70="","",SUMIFS(입출고기록!$L$7:$L$306,입출고기록!$B$7:$B$306,"판매출고",입출고기록!$A$7:$A$306,A70,입출고기록!$H$7:$H$306,"&lt;&gt;아니오"))</f>
        <v/>
      </c>
      <c r="C70" s="3"/>
      <c r="D70" s="3"/>
      <c r="E70" s="6"/>
      <c r="F70" s="3"/>
    </row>
    <row r="71" spans="1:6">
      <c r="A71" s="28" t="str">
        <f>IF(A70="","",IF(A70+1&gt;상품·기준!$C$15,"",A70+1))</f>
        <v/>
      </c>
      <c r="B71" s="13" t="str">
        <f>IF(A71="","",SUMIFS(입출고기록!$L$7:$L$306,입출고기록!$B$7:$B$306,"판매출고",입출고기록!$A$7:$A$306,A71,입출고기록!$H$7:$H$306,"&lt;&gt;아니오"))</f>
        <v/>
      </c>
      <c r="C71" s="3"/>
      <c r="D71" s="3"/>
      <c r="E71" s="6"/>
      <c r="F71" s="3"/>
    </row>
    <row r="72" spans="1:6">
      <c r="A72" s="28" t="str">
        <f>IF(A71="","",IF(A71+1&gt;상품·기준!$C$15,"",A71+1))</f>
        <v/>
      </c>
      <c r="B72" s="13" t="str">
        <f>IF(A72="","",SUMIFS(입출고기록!$L$7:$L$306,입출고기록!$B$7:$B$306,"판매출고",입출고기록!$A$7:$A$306,A72,입출고기록!$H$7:$H$306,"&lt;&gt;아니오"))</f>
        <v/>
      </c>
      <c r="C72" s="3"/>
      <c r="D72" s="3"/>
      <c r="E72" s="6"/>
      <c r="F72" s="3"/>
    </row>
    <row r="73" spans="1:6">
      <c r="A73" s="28" t="str">
        <f>IF(A72="","",IF(A72+1&gt;상품·기준!$C$15,"",A72+1))</f>
        <v/>
      </c>
      <c r="B73" s="13" t="str">
        <f>IF(A73="","",SUMIFS(입출고기록!$L$7:$L$306,입출고기록!$B$7:$B$306,"판매출고",입출고기록!$A$7:$A$306,A73,입출고기록!$H$7:$H$306,"&lt;&gt;아니오"))</f>
        <v/>
      </c>
      <c r="C73" s="3"/>
      <c r="D73" s="3"/>
      <c r="E73" s="6"/>
      <c r="F73" s="3"/>
    </row>
    <row r="74" spans="1:6">
      <c r="A74" s="28" t="str">
        <f>IF(A73="","",IF(A73+1&gt;상품·기준!$C$15,"",A73+1))</f>
        <v/>
      </c>
      <c r="B74" s="13" t="str">
        <f>IF(A74="","",SUMIFS(입출고기록!$L$7:$L$306,입출고기록!$B$7:$B$306,"판매출고",입출고기록!$A$7:$A$306,A74,입출고기록!$H$7:$H$306,"&lt;&gt;아니오"))</f>
        <v/>
      </c>
      <c r="C74" s="3"/>
      <c r="D74" s="3"/>
      <c r="E74" s="6"/>
      <c r="F74" s="3"/>
    </row>
    <row r="75" spans="1:6">
      <c r="A75" s="28" t="str">
        <f>IF(A74="","",IF(A74+1&gt;상품·기준!$C$15,"",A74+1))</f>
        <v/>
      </c>
      <c r="B75" s="13" t="str">
        <f>IF(A75="","",SUMIFS(입출고기록!$L$7:$L$306,입출고기록!$B$7:$B$306,"판매출고",입출고기록!$A$7:$A$306,A75,입출고기록!$H$7:$H$306,"&lt;&gt;아니오"))</f>
        <v/>
      </c>
      <c r="C75" s="3"/>
      <c r="D75" s="3"/>
      <c r="E75" s="6"/>
      <c r="F75" s="3"/>
    </row>
    <row r="76" spans="1:6">
      <c r="A76" s="28" t="str">
        <f>IF(A75="","",IF(A75+1&gt;상품·기준!$C$15,"",A75+1))</f>
        <v/>
      </c>
      <c r="B76" s="13" t="str">
        <f>IF(A76="","",SUMIFS(입출고기록!$L$7:$L$306,입출고기록!$B$7:$B$306,"판매출고",입출고기록!$A$7:$A$306,A76,입출고기록!$H$7:$H$306,"&lt;&gt;아니오"))</f>
        <v/>
      </c>
      <c r="C76" s="3"/>
      <c r="D76" s="3"/>
      <c r="E76" s="6"/>
      <c r="F76" s="3"/>
    </row>
    <row r="77" spans="1:6">
      <c r="A77" s="28" t="str">
        <f>IF(A76="","",IF(A76+1&gt;상품·기준!$C$15,"",A76+1))</f>
        <v/>
      </c>
      <c r="B77" s="13" t="str">
        <f>IF(A77="","",SUMIFS(입출고기록!$L$7:$L$306,입출고기록!$B$7:$B$306,"판매출고",입출고기록!$A$7:$A$306,A77,입출고기록!$H$7:$H$306,"&lt;&gt;아니오"))</f>
        <v/>
      </c>
      <c r="C77" s="3"/>
      <c r="D77" s="3"/>
      <c r="E77" s="6"/>
      <c r="F77" s="3"/>
    </row>
    <row r="78" spans="1:6">
      <c r="A78" s="28" t="str">
        <f>IF(A77="","",IF(A77+1&gt;상품·기준!$C$15,"",A77+1))</f>
        <v/>
      </c>
      <c r="B78" s="13" t="str">
        <f>IF(A78="","",SUMIFS(입출고기록!$L$7:$L$306,입출고기록!$B$7:$B$306,"판매출고",입출고기록!$A$7:$A$306,A78,입출고기록!$H$7:$H$306,"&lt;&gt;아니오"))</f>
        <v/>
      </c>
      <c r="C78" s="3"/>
      <c r="D78" s="3"/>
      <c r="E78" s="6"/>
      <c r="F78" s="3"/>
    </row>
    <row r="79" spans="1:6">
      <c r="A79" s="28" t="str">
        <f>IF(A78="","",IF(A78+1&gt;상품·기준!$C$15,"",A78+1))</f>
        <v/>
      </c>
      <c r="B79" s="13" t="str">
        <f>IF(A79="","",SUMIFS(입출고기록!$L$7:$L$306,입출고기록!$B$7:$B$306,"판매출고",입출고기록!$A$7:$A$306,A79,입출고기록!$H$7:$H$306,"&lt;&gt;아니오"))</f>
        <v/>
      </c>
      <c r="C79" s="3"/>
      <c r="D79" s="3"/>
      <c r="E79" s="6"/>
      <c r="F79" s="3"/>
    </row>
    <row r="80" spans="1:6">
      <c r="A80" s="28" t="str">
        <f>IF(A79="","",IF(A79+1&gt;상품·기준!$C$15,"",A79+1))</f>
        <v/>
      </c>
      <c r="B80" s="13" t="str">
        <f>IF(A80="","",SUMIFS(입출고기록!$L$7:$L$306,입출고기록!$B$7:$B$306,"판매출고",입출고기록!$A$7:$A$306,A80,입출고기록!$H$7:$H$306,"&lt;&gt;아니오"))</f>
        <v/>
      </c>
      <c r="C80" s="3"/>
      <c r="D80" s="3"/>
      <c r="E80" s="6"/>
      <c r="F80" s="3"/>
    </row>
    <row r="81" spans="1:6">
      <c r="A81" s="28" t="str">
        <f>IF(A80="","",IF(A80+1&gt;상품·기준!$C$15,"",A80+1))</f>
        <v/>
      </c>
      <c r="B81" s="13" t="str">
        <f>IF(A81="","",SUMIFS(입출고기록!$L$7:$L$306,입출고기록!$B$7:$B$306,"판매출고",입출고기록!$A$7:$A$306,A81,입출고기록!$H$7:$H$306,"&lt;&gt;아니오"))</f>
        <v/>
      </c>
      <c r="C81" s="3"/>
      <c r="D81" s="3"/>
      <c r="E81" s="6"/>
      <c r="F81" s="3"/>
    </row>
    <row r="82" spans="1:6">
      <c r="A82" s="28" t="str">
        <f>IF(A81="","",IF(A81+1&gt;상품·기준!$C$15,"",A81+1))</f>
        <v/>
      </c>
      <c r="B82" s="13" t="str">
        <f>IF(A82="","",SUMIFS(입출고기록!$L$7:$L$306,입출고기록!$B$7:$B$306,"판매출고",입출고기록!$A$7:$A$306,A82,입출고기록!$H$7:$H$306,"&lt;&gt;아니오"))</f>
        <v/>
      </c>
      <c r="C82" s="3"/>
      <c r="D82" s="3"/>
      <c r="E82" s="6"/>
      <c r="F82" s="3"/>
    </row>
    <row r="83" spans="1:6">
      <c r="A83" s="28" t="str">
        <f>IF(A82="","",IF(A82+1&gt;상품·기준!$C$15,"",A82+1))</f>
        <v/>
      </c>
      <c r="B83" s="13" t="str">
        <f>IF(A83="","",SUMIFS(입출고기록!$L$7:$L$306,입출고기록!$B$7:$B$306,"판매출고",입출고기록!$A$7:$A$306,A83,입출고기록!$H$7:$H$306,"&lt;&gt;아니오"))</f>
        <v/>
      </c>
      <c r="C83" s="3"/>
      <c r="D83" s="3"/>
      <c r="E83" s="6"/>
      <c r="F83" s="3"/>
    </row>
    <row r="84" spans="1:6">
      <c r="A84" s="28" t="str">
        <f>IF(A83="","",IF(A83+1&gt;상품·기준!$C$15,"",A83+1))</f>
        <v/>
      </c>
      <c r="B84" s="13" t="str">
        <f>IF(A84="","",SUMIFS(입출고기록!$L$7:$L$306,입출고기록!$B$7:$B$306,"판매출고",입출고기록!$A$7:$A$306,A84,입출고기록!$H$7:$H$306,"&lt;&gt;아니오"))</f>
        <v/>
      </c>
      <c r="C84" s="3"/>
      <c r="D84" s="3"/>
      <c r="E84" s="6"/>
      <c r="F84" s="3"/>
    </row>
    <row r="85" spans="1:6">
      <c r="A85" s="28" t="str">
        <f>IF(A84="","",IF(A84+1&gt;상품·기준!$C$15,"",A84+1))</f>
        <v/>
      </c>
      <c r="B85" s="13" t="str">
        <f>IF(A85="","",SUMIFS(입출고기록!$L$7:$L$306,입출고기록!$B$7:$B$306,"판매출고",입출고기록!$A$7:$A$306,A85,입출고기록!$H$7:$H$306,"&lt;&gt;아니오"))</f>
        <v/>
      </c>
      <c r="C85" s="3"/>
      <c r="D85" s="3"/>
      <c r="E85" s="6"/>
      <c r="F85" s="3"/>
    </row>
    <row r="86" spans="1:6">
      <c r="A86" s="28" t="str">
        <f>IF(A85="","",IF(A85+1&gt;상품·기준!$C$15,"",A85+1))</f>
        <v/>
      </c>
      <c r="B86" s="13" t="str">
        <f>IF(A86="","",SUMIFS(입출고기록!$L$7:$L$306,입출고기록!$B$7:$B$306,"판매출고",입출고기록!$A$7:$A$306,A86,입출고기록!$H$7:$H$306,"&lt;&gt;아니오"))</f>
        <v/>
      </c>
      <c r="C86" s="3"/>
      <c r="D86" s="3"/>
      <c r="E86" s="6"/>
      <c r="F86" s="3"/>
    </row>
    <row r="87" spans="1:6">
      <c r="A87" s="28" t="str">
        <f>IF(A86="","",IF(A86+1&gt;상품·기준!$C$15,"",A86+1))</f>
        <v/>
      </c>
      <c r="B87" s="13" t="str">
        <f>IF(A87="","",SUMIFS(입출고기록!$L$7:$L$306,입출고기록!$B$7:$B$306,"판매출고",입출고기록!$A$7:$A$306,A87,입출고기록!$H$7:$H$306,"&lt;&gt;아니오"))</f>
        <v/>
      </c>
      <c r="C87" s="3"/>
      <c r="D87" s="3"/>
      <c r="E87" s="6"/>
      <c r="F87" s="3"/>
    </row>
    <row r="88" spans="1:6">
      <c r="A88" s="28" t="str">
        <f>IF(A87="","",IF(A87+1&gt;상품·기준!$C$15,"",A87+1))</f>
        <v/>
      </c>
      <c r="B88" s="13" t="str">
        <f>IF(A88="","",SUMIFS(입출고기록!$L$7:$L$306,입출고기록!$B$7:$B$306,"판매출고",입출고기록!$A$7:$A$306,A88,입출고기록!$H$7:$H$306,"&lt;&gt;아니오"))</f>
        <v/>
      </c>
      <c r="C88" s="3"/>
      <c r="D88" s="3"/>
      <c r="E88" s="6"/>
      <c r="F88" s="3"/>
    </row>
    <row r="89" spans="1:6">
      <c r="A89" s="28" t="str">
        <f>IF(A88="","",IF(A88+1&gt;상품·기준!$C$15,"",A88+1))</f>
        <v/>
      </c>
      <c r="B89" s="13" t="str">
        <f>IF(A89="","",SUMIFS(입출고기록!$L$7:$L$306,입출고기록!$B$7:$B$306,"판매출고",입출고기록!$A$7:$A$306,A89,입출고기록!$H$7:$H$306,"&lt;&gt;아니오"))</f>
        <v/>
      </c>
      <c r="C89" s="3"/>
      <c r="D89" s="3"/>
      <c r="E89" s="6"/>
      <c r="F89" s="3"/>
    </row>
    <row r="90" spans="1:6">
      <c r="A90" s="28" t="str">
        <f>IF(A89="","",IF(A89+1&gt;상품·기준!$C$15,"",A89+1))</f>
        <v/>
      </c>
      <c r="B90" s="13" t="str">
        <f>IF(A90="","",SUMIFS(입출고기록!$L$7:$L$306,입출고기록!$B$7:$B$306,"판매출고",입출고기록!$A$7:$A$306,A90,입출고기록!$H$7:$H$306,"&lt;&gt;아니오"))</f>
        <v/>
      </c>
      <c r="C90" s="3"/>
      <c r="D90" s="3"/>
      <c r="E90" s="6"/>
      <c r="F90" s="3"/>
    </row>
    <row r="91" spans="1:6">
      <c r="A91" s="28" t="str">
        <f>IF(A90="","",IF(A90+1&gt;상품·기준!$C$15,"",A90+1))</f>
        <v/>
      </c>
      <c r="B91" s="13" t="str">
        <f>IF(A91="","",SUMIFS(입출고기록!$L$7:$L$306,입출고기록!$B$7:$B$306,"판매출고",입출고기록!$A$7:$A$306,A91,입출고기록!$H$7:$H$306,"&lt;&gt;아니오"))</f>
        <v/>
      </c>
      <c r="C91" s="3"/>
      <c r="D91" s="3"/>
      <c r="E91" s="6"/>
      <c r="F91" s="3"/>
    </row>
    <row r="92" spans="1:6">
      <c r="A92" s="28" t="str">
        <f>IF(A91="","",IF(A91+1&gt;상품·기준!$C$15,"",A91+1))</f>
        <v/>
      </c>
      <c r="B92" s="13" t="str">
        <f>IF(A92="","",SUMIFS(입출고기록!$L$7:$L$306,입출고기록!$B$7:$B$306,"판매출고",입출고기록!$A$7:$A$306,A92,입출고기록!$H$7:$H$306,"&lt;&gt;아니오"))</f>
        <v/>
      </c>
      <c r="C92" s="3"/>
      <c r="D92" s="3"/>
      <c r="E92" s="6"/>
      <c r="F92" s="3"/>
    </row>
    <row r="93" spans="1:6">
      <c r="A93" s="28" t="str">
        <f>IF(A92="","",IF(A92+1&gt;상품·기준!$C$15,"",A92+1))</f>
        <v/>
      </c>
      <c r="B93" s="13" t="str">
        <f>IF(A93="","",SUMIFS(입출고기록!$L$7:$L$306,입출고기록!$B$7:$B$306,"판매출고",입출고기록!$A$7:$A$306,A93,입출고기록!$H$7:$H$306,"&lt;&gt;아니오"))</f>
        <v/>
      </c>
      <c r="C93" s="3"/>
      <c r="D93" s="3"/>
      <c r="E93" s="6"/>
      <c r="F93" s="3"/>
    </row>
    <row r="94" spans="1:6">
      <c r="A94" s="28" t="str">
        <f>IF(A93="","",IF(A93+1&gt;상품·기준!$C$15,"",A93+1))</f>
        <v/>
      </c>
      <c r="B94" s="13" t="str">
        <f>IF(A94="","",SUMIFS(입출고기록!$L$7:$L$306,입출고기록!$B$7:$B$306,"판매출고",입출고기록!$A$7:$A$306,A94,입출고기록!$H$7:$H$306,"&lt;&gt;아니오"))</f>
        <v/>
      </c>
      <c r="C94" s="3"/>
      <c r="D94" s="3"/>
      <c r="E94" s="6"/>
      <c r="F94" s="3"/>
    </row>
    <row r="95" spans="1:6">
      <c r="A95" s="28" t="str">
        <f>IF(A94="","",IF(A94+1&gt;상품·기준!$C$15,"",A94+1))</f>
        <v/>
      </c>
      <c r="B95" s="13" t="str">
        <f>IF(A95="","",SUMIFS(입출고기록!$L$7:$L$306,입출고기록!$B$7:$B$306,"판매출고",입출고기록!$A$7:$A$306,A95,입출고기록!$H$7:$H$306,"&lt;&gt;아니오"))</f>
        <v/>
      </c>
      <c r="C95" s="3"/>
      <c r="D95" s="3"/>
      <c r="E95" s="6"/>
      <c r="F95" s="3"/>
    </row>
    <row r="96" spans="1:6">
      <c r="A96" s="28" t="str">
        <f>IF(A95="","",IF(A95+1&gt;상품·기준!$C$15,"",A95+1))</f>
        <v/>
      </c>
      <c r="B96" s="13" t="str">
        <f>IF(A96="","",SUMIFS(입출고기록!$L$7:$L$306,입출고기록!$B$7:$B$306,"판매출고",입출고기록!$A$7:$A$306,A96,입출고기록!$H$7:$H$306,"&lt;&gt;아니오"))</f>
        <v/>
      </c>
      <c r="C96" s="3"/>
      <c r="D96" s="3"/>
      <c r="E96" s="6"/>
      <c r="F96" s="3"/>
    </row>
    <row r="97" spans="1:6">
      <c r="A97" s="28" t="str">
        <f>IF(A96="","",IF(A96+1&gt;상품·기준!$C$15,"",A96+1))</f>
        <v/>
      </c>
      <c r="B97" s="13" t="str">
        <f>IF(A97="","",SUMIFS(입출고기록!$L$7:$L$306,입출고기록!$B$7:$B$306,"판매출고",입출고기록!$A$7:$A$306,A97,입출고기록!$H$7:$H$306,"&lt;&gt;아니오"))</f>
        <v/>
      </c>
      <c r="C97" s="3"/>
      <c r="D97" s="3"/>
      <c r="E97" s="6"/>
      <c r="F97" s="3"/>
    </row>
    <row r="98" spans="1:6">
      <c r="A98" s="28" t="str">
        <f>IF(A97="","",IF(A97+1&gt;상품·기준!$C$15,"",A97+1))</f>
        <v/>
      </c>
      <c r="B98" s="13" t="str">
        <f>IF(A98="","",SUMIFS(입출고기록!$L$7:$L$306,입출고기록!$B$7:$B$306,"판매출고",입출고기록!$A$7:$A$306,A98,입출고기록!$H$7:$H$306,"&lt;&gt;아니오"))</f>
        <v/>
      </c>
      <c r="C98" s="3"/>
      <c r="D98" s="3"/>
      <c r="E98" s="6"/>
      <c r="F98" s="3"/>
    </row>
    <row r="99" spans="1:6">
      <c r="A99" s="28" t="str">
        <f>IF(A98="","",IF(A98+1&gt;상품·기준!$C$15,"",A98+1))</f>
        <v/>
      </c>
      <c r="B99" s="13" t="str">
        <f>IF(A99="","",SUMIFS(입출고기록!$L$7:$L$306,입출고기록!$B$7:$B$306,"판매출고",입출고기록!$A$7:$A$306,A99,입출고기록!$H$7:$H$306,"&lt;&gt;아니오"))</f>
        <v/>
      </c>
      <c r="C99" s="3"/>
      <c r="D99" s="3"/>
      <c r="E99" s="6"/>
      <c r="F99" s="3"/>
    </row>
    <row r="100" spans="1:6">
      <c r="A100" s="28" t="str">
        <f>IF(A99="","",IF(A99+1&gt;상품·기준!$C$15,"",A99+1))</f>
        <v/>
      </c>
      <c r="B100" s="13" t="str">
        <f>IF(A100="","",SUMIFS(입출고기록!$L$7:$L$306,입출고기록!$B$7:$B$306,"판매출고",입출고기록!$A$7:$A$306,A100,입출고기록!$H$7:$H$306,"&lt;&gt;아니오"))</f>
        <v/>
      </c>
      <c r="C100" s="3"/>
      <c r="D100" s="3"/>
      <c r="E100" s="6"/>
      <c r="F100" s="3"/>
    </row>
    <row r="101" spans="1:6">
      <c r="A101" s="28" t="str">
        <f>IF(A100="","",IF(A100+1&gt;상품·기준!$C$15,"",A100+1))</f>
        <v/>
      </c>
      <c r="B101" s="13" t="str">
        <f>IF(A101="","",SUMIFS(입출고기록!$L$7:$L$306,입출고기록!$B$7:$B$306,"판매출고",입출고기록!$A$7:$A$306,A101,입출고기록!$H$7:$H$306,"&lt;&gt;아니오"))</f>
        <v/>
      </c>
      <c r="C101" s="3"/>
      <c r="D101" s="3"/>
      <c r="E101" s="6"/>
      <c r="F101" s="3"/>
    </row>
    <row r="102" spans="1:6">
      <c r="A102" s="28" t="str">
        <f>IF(A101="","",IF(A101+1&gt;상품·기준!$C$15,"",A101+1))</f>
        <v/>
      </c>
      <c r="B102" s="13" t="str">
        <f>IF(A102="","",SUMIFS(입출고기록!$L$7:$L$306,입출고기록!$B$7:$B$306,"판매출고",입출고기록!$A$7:$A$306,A102,입출고기록!$H$7:$H$306,"&lt;&gt;아니오"))</f>
        <v/>
      </c>
      <c r="C102" s="3"/>
      <c r="D102" s="3"/>
      <c r="E102" s="6"/>
      <c r="F102" s="3"/>
    </row>
    <row r="103" spans="1:6">
      <c r="A103" s="28" t="str">
        <f>IF(A102="","",IF(A102+1&gt;상품·기준!$C$15,"",A102+1))</f>
        <v/>
      </c>
      <c r="B103" s="13" t="str">
        <f>IF(A103="","",SUMIFS(입출고기록!$L$7:$L$306,입출고기록!$B$7:$B$306,"판매출고",입출고기록!$A$7:$A$306,A103,입출고기록!$H$7:$H$306,"&lt;&gt;아니오"))</f>
        <v/>
      </c>
      <c r="C103" s="3"/>
      <c r="D103" s="3"/>
      <c r="E103" s="6"/>
      <c r="F103" s="3"/>
    </row>
    <row r="104" spans="1:6">
      <c r="A104" s="28" t="str">
        <f>IF(A103="","",IF(A103+1&gt;상품·기준!$C$15,"",A103+1))</f>
        <v/>
      </c>
      <c r="B104" s="13" t="str">
        <f>IF(A104="","",SUMIFS(입출고기록!$L$7:$L$306,입출고기록!$B$7:$B$306,"판매출고",입출고기록!$A$7:$A$306,A104,입출고기록!$H$7:$H$306,"&lt;&gt;아니오"))</f>
        <v/>
      </c>
      <c r="C104" s="3"/>
      <c r="D104" s="3"/>
      <c r="E104" s="6"/>
      <c r="F104" s="3"/>
    </row>
    <row r="105" spans="1:6">
      <c r="A105" s="28" t="str">
        <f>IF(A104="","",IF(A104+1&gt;상품·기준!$C$15,"",A104+1))</f>
        <v/>
      </c>
      <c r="B105" s="13" t="str">
        <f>IF(A105="","",SUMIFS(입출고기록!$L$7:$L$306,입출고기록!$B$7:$B$306,"판매출고",입출고기록!$A$7:$A$306,A105,입출고기록!$H$7:$H$306,"&lt;&gt;아니오"))</f>
        <v/>
      </c>
      <c r="C105" s="3"/>
      <c r="D105" s="3"/>
      <c r="E105" s="6"/>
      <c r="F105" s="3"/>
    </row>
    <row r="106" spans="1:6">
      <c r="A106" s="28" t="str">
        <f>IF(A105="","",IF(A105+1&gt;상품·기준!$C$15,"",A105+1))</f>
        <v/>
      </c>
      <c r="B106" s="13" t="str">
        <f>IF(A106="","",SUMIFS(입출고기록!$L$7:$L$306,입출고기록!$B$7:$B$306,"판매출고",입출고기록!$A$7:$A$306,A106,입출고기록!$H$7:$H$306,"&lt;&gt;아니오"))</f>
        <v/>
      </c>
      <c r="C106" s="3"/>
      <c r="D106" s="3"/>
      <c r="E106" s="6"/>
      <c r="F106" s="3"/>
    </row>
    <row r="107" spans="1:6">
      <c r="A107" s="28" t="str">
        <f>IF(A106="","",IF(A106+1&gt;상품·기준!$C$15,"",A106+1))</f>
        <v/>
      </c>
      <c r="B107" s="13" t="str">
        <f>IF(A107="","",SUMIFS(입출고기록!$L$7:$L$306,입출고기록!$B$7:$B$306,"판매출고",입출고기록!$A$7:$A$306,A107,입출고기록!$H$7:$H$306,"&lt;&gt;아니오"))</f>
        <v/>
      </c>
      <c r="C107" s="3"/>
      <c r="D107" s="3"/>
      <c r="E107" s="6"/>
      <c r="F107" s="3"/>
    </row>
    <row r="108" spans="1:6">
      <c r="A108" s="28" t="str">
        <f>IF(A107="","",IF(A107+1&gt;상품·기준!$C$15,"",A107+1))</f>
        <v/>
      </c>
      <c r="B108" s="13" t="str">
        <f>IF(A108="","",SUMIFS(입출고기록!$L$7:$L$306,입출고기록!$B$7:$B$306,"판매출고",입출고기록!$A$7:$A$306,A108,입출고기록!$H$7:$H$306,"&lt;&gt;아니오"))</f>
        <v/>
      </c>
      <c r="C108" s="3"/>
      <c r="D108" s="3"/>
      <c r="E108" s="6"/>
      <c r="F108" s="3"/>
    </row>
    <row r="109" spans="1:6">
      <c r="A109" s="28" t="str">
        <f>IF(A108="","",IF(A108+1&gt;상품·기준!$C$15,"",A108+1))</f>
        <v/>
      </c>
      <c r="B109" s="13" t="str">
        <f>IF(A109="","",SUMIFS(입출고기록!$L$7:$L$306,입출고기록!$B$7:$B$306,"판매출고",입출고기록!$A$7:$A$306,A109,입출고기록!$H$7:$H$306,"&lt;&gt;아니오"))</f>
        <v/>
      </c>
      <c r="C109" s="3"/>
      <c r="D109" s="3"/>
      <c r="E109" s="6"/>
      <c r="F109" s="3"/>
    </row>
    <row r="110" spans="1:6">
      <c r="A110" s="28" t="str">
        <f>IF(A109="","",IF(A109+1&gt;상품·기준!$C$15,"",A109+1))</f>
        <v/>
      </c>
      <c r="B110" s="13" t="str">
        <f>IF(A110="","",SUMIFS(입출고기록!$L$7:$L$306,입출고기록!$B$7:$B$306,"판매출고",입출고기록!$A$7:$A$306,A110,입출고기록!$H$7:$H$306,"&lt;&gt;아니오"))</f>
        <v/>
      </c>
      <c r="C110" s="3"/>
      <c r="D110" s="3"/>
      <c r="E110" s="6"/>
      <c r="F110" s="3"/>
    </row>
    <row r="111" spans="1:6">
      <c r="A111" s="28" t="str">
        <f>IF(A110="","",IF(A110+1&gt;상품·기준!$C$15,"",A110+1))</f>
        <v/>
      </c>
      <c r="B111" s="13" t="str">
        <f>IF(A111="","",SUMIFS(입출고기록!$L$7:$L$306,입출고기록!$B$7:$B$306,"판매출고",입출고기록!$A$7:$A$306,A111,입출고기록!$H$7:$H$306,"&lt;&gt;아니오"))</f>
        <v/>
      </c>
      <c r="C111" s="3"/>
      <c r="D111" s="3"/>
      <c r="E111" s="6"/>
      <c r="F111" s="3"/>
    </row>
    <row r="112" spans="1:6">
      <c r="A112" s="28" t="str">
        <f>IF(A111="","",IF(A111+1&gt;상품·기준!$C$15,"",A111+1))</f>
        <v/>
      </c>
      <c r="B112" s="13" t="str">
        <f>IF(A112="","",SUMIFS(입출고기록!$L$7:$L$306,입출고기록!$B$7:$B$306,"판매출고",입출고기록!$A$7:$A$306,A112,입출고기록!$H$7:$H$306,"&lt;&gt;아니오"))</f>
        <v/>
      </c>
      <c r="C112" s="3"/>
      <c r="D112" s="3"/>
      <c r="E112" s="6"/>
      <c r="F112" s="3"/>
    </row>
    <row r="113" spans="1:6">
      <c r="A113" s="28" t="str">
        <f>IF(A112="","",IF(A112+1&gt;상품·기준!$C$15,"",A112+1))</f>
        <v/>
      </c>
      <c r="B113" s="13" t="str">
        <f>IF(A113="","",SUMIFS(입출고기록!$L$7:$L$306,입출고기록!$B$7:$B$306,"판매출고",입출고기록!$A$7:$A$306,A113,입출고기록!$H$7:$H$306,"&lt;&gt;아니오"))</f>
        <v/>
      </c>
      <c r="C113" s="3"/>
      <c r="D113" s="3"/>
      <c r="E113" s="6"/>
      <c r="F113" s="3"/>
    </row>
    <row r="114" spans="1:6">
      <c r="A114" s="28" t="str">
        <f>IF(A113="","",IF(A113+1&gt;상품·기준!$C$15,"",A113+1))</f>
        <v/>
      </c>
      <c r="B114" s="13" t="str">
        <f>IF(A114="","",SUMIFS(입출고기록!$L$7:$L$306,입출고기록!$B$7:$B$306,"판매출고",입출고기록!$A$7:$A$306,A114,입출고기록!$H$7:$H$306,"&lt;&gt;아니오"))</f>
        <v/>
      </c>
      <c r="C114" s="3"/>
      <c r="D114" s="3"/>
      <c r="E114" s="6"/>
      <c r="F114" s="3"/>
    </row>
    <row r="115" spans="1:6">
      <c r="A115" s="28" t="str">
        <f>IF(A114="","",IF(A114+1&gt;상품·기준!$C$15,"",A114+1))</f>
        <v/>
      </c>
      <c r="B115" s="13" t="str">
        <f>IF(A115="","",SUMIFS(입출고기록!$L$7:$L$306,입출고기록!$B$7:$B$306,"판매출고",입출고기록!$A$7:$A$306,A115,입출고기록!$H$7:$H$306,"&lt;&gt;아니오"))</f>
        <v/>
      </c>
      <c r="C115" s="3"/>
      <c r="D115" s="3"/>
      <c r="E115" s="6"/>
      <c r="F115" s="3"/>
    </row>
    <row r="116" spans="1:6">
      <c r="A116" s="28" t="str">
        <f>IF(A115="","",IF(A115+1&gt;상품·기준!$C$15,"",A115+1))</f>
        <v/>
      </c>
      <c r="B116" s="13" t="str">
        <f>IF(A116="","",SUMIFS(입출고기록!$L$7:$L$306,입출고기록!$B$7:$B$306,"판매출고",입출고기록!$A$7:$A$306,A116,입출고기록!$H$7:$H$306,"&lt;&gt;아니오"))</f>
        <v/>
      </c>
      <c r="C116" s="3"/>
      <c r="D116" s="3"/>
      <c r="E116" s="6"/>
      <c r="F116" s="3"/>
    </row>
    <row r="117" spans="1:6">
      <c r="A117" s="28" t="str">
        <f>IF(A116="","",IF(A116+1&gt;상품·기준!$C$15,"",A116+1))</f>
        <v/>
      </c>
      <c r="B117" s="13" t="str">
        <f>IF(A117="","",SUMIFS(입출고기록!$L$7:$L$306,입출고기록!$B$7:$B$306,"판매출고",입출고기록!$A$7:$A$306,A117,입출고기록!$H$7:$H$306,"&lt;&gt;아니오"))</f>
        <v/>
      </c>
      <c r="C117" s="3"/>
      <c r="D117" s="3"/>
      <c r="E117" s="6"/>
      <c r="F117" s="3"/>
    </row>
    <row r="118" spans="1:6">
      <c r="A118" s="28" t="str">
        <f>IF(A117="","",IF(A117+1&gt;상품·기준!$C$15,"",A117+1))</f>
        <v/>
      </c>
      <c r="B118" s="13" t="str">
        <f>IF(A118="","",SUMIFS(입출고기록!$L$7:$L$306,입출고기록!$B$7:$B$306,"판매출고",입출고기록!$A$7:$A$306,A118,입출고기록!$H$7:$H$306,"&lt;&gt;아니오"))</f>
        <v/>
      </c>
      <c r="C118" s="3"/>
      <c r="D118" s="3"/>
      <c r="E118" s="6"/>
      <c r="F118" s="3"/>
    </row>
    <row r="119" spans="1:6">
      <c r="A119" s="28" t="str">
        <f>IF(A118="","",IF(A118+1&gt;상품·기준!$C$15,"",A118+1))</f>
        <v/>
      </c>
      <c r="B119" s="13" t="str">
        <f>IF(A119="","",SUMIFS(입출고기록!$L$7:$L$306,입출고기록!$B$7:$B$306,"판매출고",입출고기록!$A$7:$A$306,A119,입출고기록!$H$7:$H$306,"&lt;&gt;아니오"))</f>
        <v/>
      </c>
      <c r="C119" s="3"/>
      <c r="D119" s="3"/>
      <c r="E119" s="6"/>
      <c r="F119" s="3"/>
    </row>
    <row r="120" spans="1:6">
      <c r="A120" s="28" t="str">
        <f>IF(A119="","",IF(A119+1&gt;상품·기준!$C$15,"",A119+1))</f>
        <v/>
      </c>
      <c r="B120" s="13" t="str">
        <f>IF(A120="","",SUMIFS(입출고기록!$L$7:$L$306,입출고기록!$B$7:$B$306,"판매출고",입출고기록!$A$7:$A$306,A120,입출고기록!$H$7:$H$306,"&lt;&gt;아니오"))</f>
        <v/>
      </c>
      <c r="C120" s="3"/>
      <c r="D120" s="3"/>
      <c r="E120" s="6"/>
      <c r="F120" s="3"/>
    </row>
    <row r="121" spans="1:6">
      <c r="A121" s="28" t="str">
        <f>IF(A120="","",IF(A120+1&gt;상품·기준!$C$15,"",A120+1))</f>
        <v/>
      </c>
      <c r="B121" s="13" t="str">
        <f>IF(A121="","",SUMIFS(입출고기록!$L$7:$L$306,입출고기록!$B$7:$B$306,"판매출고",입출고기록!$A$7:$A$306,A121,입출고기록!$H$7:$H$306,"&lt;&gt;아니오"))</f>
        <v/>
      </c>
      <c r="C121" s="3"/>
      <c r="D121" s="3"/>
      <c r="E121" s="6"/>
      <c r="F121" s="3"/>
    </row>
    <row r="122" spans="1:6">
      <c r="A122" s="28" t="str">
        <f>IF(A121="","",IF(A121+1&gt;상품·기준!$C$15,"",A121+1))</f>
        <v/>
      </c>
      <c r="B122" s="13" t="str">
        <f>IF(A122="","",SUMIFS(입출고기록!$L$7:$L$306,입출고기록!$B$7:$B$306,"판매출고",입출고기록!$A$7:$A$306,A122,입출고기록!$H$7:$H$306,"&lt;&gt;아니오"))</f>
        <v/>
      </c>
      <c r="C122" s="3"/>
      <c r="D122" s="3"/>
      <c r="E122" s="6"/>
      <c r="F122" s="3"/>
    </row>
    <row r="123" spans="1:6">
      <c r="A123" s="28" t="str">
        <f>IF(A122="","",IF(A122+1&gt;상품·기준!$C$15,"",A122+1))</f>
        <v/>
      </c>
      <c r="B123" s="13" t="str">
        <f>IF(A123="","",SUMIFS(입출고기록!$L$7:$L$306,입출고기록!$B$7:$B$306,"판매출고",입출고기록!$A$7:$A$306,A123,입출고기록!$H$7:$H$306,"&lt;&gt;아니오"))</f>
        <v/>
      </c>
      <c r="C123" s="3"/>
      <c r="D123" s="3"/>
      <c r="E123" s="6"/>
      <c r="F123" s="3"/>
    </row>
    <row r="124" spans="1:6">
      <c r="A124" s="28" t="str">
        <f>IF(A123="","",IF(A123+1&gt;상품·기준!$C$15,"",A123+1))</f>
        <v/>
      </c>
      <c r="B124" s="13" t="str">
        <f>IF(A124="","",SUMIFS(입출고기록!$L$7:$L$306,입출고기록!$B$7:$B$306,"판매출고",입출고기록!$A$7:$A$306,A124,입출고기록!$H$7:$H$306,"&lt;&gt;아니오"))</f>
        <v/>
      </c>
      <c r="C124" s="3"/>
      <c r="D124" s="3"/>
      <c r="E124" s="6"/>
      <c r="F124" s="3"/>
    </row>
    <row r="125" spans="1:6">
      <c r="A125" s="28" t="str">
        <f>IF(A124="","",IF(A124+1&gt;상품·기준!$C$15,"",A124+1))</f>
        <v/>
      </c>
      <c r="B125" s="13" t="str">
        <f>IF(A125="","",SUMIFS(입출고기록!$L$7:$L$306,입출고기록!$B$7:$B$306,"판매출고",입출고기록!$A$7:$A$306,A125,입출고기록!$H$7:$H$306,"&lt;&gt;아니오"))</f>
        <v/>
      </c>
      <c r="C125" s="3"/>
      <c r="D125" s="3"/>
      <c r="E125" s="6"/>
      <c r="F125" s="3"/>
    </row>
    <row r="126" spans="1:6">
      <c r="A126" s="28" t="str">
        <f>IF(A125="","",IF(A125+1&gt;상품·기준!$C$15,"",A125+1))</f>
        <v/>
      </c>
      <c r="B126" s="13" t="str">
        <f>IF(A126="","",SUMIFS(입출고기록!$L$7:$L$306,입출고기록!$B$7:$B$306,"판매출고",입출고기록!$A$7:$A$306,A126,입출고기록!$H$7:$H$306,"&lt;&gt;아니오"))</f>
        <v/>
      </c>
      <c r="C126" s="3"/>
      <c r="D126" s="3"/>
      <c r="E126" s="6"/>
      <c r="F126" s="3"/>
    </row>
    <row r="127" spans="1:6">
      <c r="A127" s="28" t="str">
        <f>IF(A126="","",IF(A126+1&gt;상품·기준!$C$15,"",A126+1))</f>
        <v/>
      </c>
      <c r="B127" s="13" t="str">
        <f>IF(A127="","",SUMIFS(입출고기록!$L$7:$L$306,입출고기록!$B$7:$B$306,"판매출고",입출고기록!$A$7:$A$306,A127,입출고기록!$H$7:$H$306,"&lt;&gt;아니오"))</f>
        <v/>
      </c>
      <c r="C127" s="3"/>
      <c r="D127" s="3"/>
      <c r="E127" s="6"/>
      <c r="F127" s="3"/>
    </row>
    <row r="128" spans="1:6">
      <c r="A128" s="28" t="str">
        <f>IF(A127="","",IF(A127+1&gt;상품·기준!$C$15,"",A127+1))</f>
        <v/>
      </c>
      <c r="B128" s="13" t="str">
        <f>IF(A128="","",SUMIFS(입출고기록!$L$7:$L$306,입출고기록!$B$7:$B$306,"판매출고",입출고기록!$A$7:$A$306,A128,입출고기록!$H$7:$H$306,"&lt;&gt;아니오"))</f>
        <v/>
      </c>
      <c r="C128" s="3"/>
      <c r="D128" s="3"/>
      <c r="E128" s="6"/>
      <c r="F128" s="3"/>
    </row>
    <row r="129" spans="1:6">
      <c r="A129" s="28" t="str">
        <f>IF(A128="","",IF(A128+1&gt;상품·기준!$C$15,"",A128+1))</f>
        <v/>
      </c>
      <c r="B129" s="13" t="str">
        <f>IF(A129="","",SUMIFS(입출고기록!$L$7:$L$306,입출고기록!$B$7:$B$306,"판매출고",입출고기록!$A$7:$A$306,A129,입출고기록!$H$7:$H$306,"&lt;&gt;아니오"))</f>
        <v/>
      </c>
      <c r="C129" s="3"/>
      <c r="D129" s="3"/>
      <c r="E129" s="6"/>
      <c r="F129" s="3"/>
    </row>
    <row r="130" spans="1:6">
      <c r="A130" s="28" t="str">
        <f>IF(A129="","",IF(A129+1&gt;상품·기준!$C$15,"",A129+1))</f>
        <v/>
      </c>
      <c r="B130" s="13" t="str">
        <f>IF(A130="","",SUMIFS(입출고기록!$L$7:$L$306,입출고기록!$B$7:$B$306,"판매출고",입출고기록!$A$7:$A$306,A130,입출고기록!$H$7:$H$306,"&lt;&gt;아니오"))</f>
        <v/>
      </c>
      <c r="C130" s="3"/>
      <c r="D130" s="3"/>
      <c r="E130" s="6"/>
      <c r="F130" s="3"/>
    </row>
    <row r="131" spans="1:6">
      <c r="A131" s="28" t="str">
        <f>IF(A130="","",IF(A130+1&gt;상품·기준!$C$15,"",A130+1))</f>
        <v/>
      </c>
      <c r="B131" s="13" t="str">
        <f>IF(A131="","",SUMIFS(입출고기록!$L$7:$L$306,입출고기록!$B$7:$B$306,"판매출고",입출고기록!$A$7:$A$306,A131,입출고기록!$H$7:$H$306,"&lt;&gt;아니오"))</f>
        <v/>
      </c>
      <c r="C131" s="3"/>
      <c r="D131" s="3"/>
      <c r="E131" s="6"/>
      <c r="F131" s="3"/>
    </row>
    <row r="132" spans="1:6">
      <c r="A132" s="28" t="str">
        <f>IF(A131="","",IF(A131+1&gt;상품·기준!$C$15,"",A131+1))</f>
        <v/>
      </c>
      <c r="B132" s="13" t="str">
        <f>IF(A132="","",SUMIFS(입출고기록!$L$7:$L$306,입출고기록!$B$7:$B$306,"판매출고",입출고기록!$A$7:$A$306,A132,입출고기록!$H$7:$H$306,"&lt;&gt;아니오"))</f>
        <v/>
      </c>
      <c r="C132" s="3"/>
      <c r="D132" s="3"/>
      <c r="E132" s="6"/>
      <c r="F132" s="3"/>
    </row>
    <row r="133" spans="1:6">
      <c r="A133" s="28" t="str">
        <f>IF(A132="","",IF(A132+1&gt;상품·기준!$C$15,"",A132+1))</f>
        <v/>
      </c>
      <c r="B133" s="13" t="str">
        <f>IF(A133="","",SUMIFS(입출고기록!$L$7:$L$306,입출고기록!$B$7:$B$306,"판매출고",입출고기록!$A$7:$A$306,A133,입출고기록!$H$7:$H$306,"&lt;&gt;아니오"))</f>
        <v/>
      </c>
      <c r="C133" s="3"/>
      <c r="D133" s="3"/>
      <c r="E133" s="6"/>
      <c r="F133" s="3"/>
    </row>
    <row r="134" spans="1:6">
      <c r="A134" s="28" t="str">
        <f>IF(A133="","",IF(A133+1&gt;상품·기준!$C$15,"",A133+1))</f>
        <v/>
      </c>
      <c r="B134" s="13" t="str">
        <f>IF(A134="","",SUMIFS(입출고기록!$L$7:$L$306,입출고기록!$B$7:$B$306,"판매출고",입출고기록!$A$7:$A$306,A134,입출고기록!$H$7:$H$306,"&lt;&gt;아니오"))</f>
        <v/>
      </c>
      <c r="C134" s="3"/>
      <c r="D134" s="3"/>
      <c r="E134" s="6"/>
      <c r="F134" s="3"/>
    </row>
    <row r="135" spans="1:6">
      <c r="A135" s="28" t="str">
        <f>IF(A134="","",IF(A134+1&gt;상품·기준!$C$15,"",A134+1))</f>
        <v/>
      </c>
      <c r="B135" s="13" t="str">
        <f>IF(A135="","",SUMIFS(입출고기록!$L$7:$L$306,입출고기록!$B$7:$B$306,"판매출고",입출고기록!$A$7:$A$306,A135,입출고기록!$H$7:$H$306,"&lt;&gt;아니오"))</f>
        <v/>
      </c>
      <c r="C135" s="3"/>
      <c r="D135" s="3"/>
      <c r="E135" s="6"/>
      <c r="F135" s="3"/>
    </row>
    <row r="136" spans="1:6">
      <c r="A136" s="28" t="str">
        <f>IF(A135="","",IF(A135+1&gt;상품·기준!$C$15,"",A135+1))</f>
        <v/>
      </c>
      <c r="B136" s="13" t="str">
        <f>IF(A136="","",SUMIFS(입출고기록!$L$7:$L$306,입출고기록!$B$7:$B$306,"판매출고",입출고기록!$A$7:$A$306,A136,입출고기록!$H$7:$H$306,"&lt;&gt;아니오"))</f>
        <v/>
      </c>
      <c r="C136" s="3"/>
      <c r="D136" s="3"/>
      <c r="E136" s="6"/>
      <c r="F136" s="3"/>
    </row>
    <row r="137" spans="1:6">
      <c r="A137" s="28" t="str">
        <f>IF(A136="","",IF(A136+1&gt;상품·기준!$C$15,"",A136+1))</f>
        <v/>
      </c>
      <c r="B137" s="13" t="str">
        <f>IF(A137="","",SUMIFS(입출고기록!$L$7:$L$306,입출고기록!$B$7:$B$306,"판매출고",입출고기록!$A$7:$A$306,A137,입출고기록!$H$7:$H$306,"&lt;&gt;아니오"))</f>
        <v/>
      </c>
      <c r="C137" s="3"/>
      <c r="D137" s="3"/>
      <c r="E137" s="6"/>
      <c r="F137" s="3"/>
    </row>
    <row r="138" spans="1:6">
      <c r="A138" s="28" t="str">
        <f>IF(A137="","",IF(A137+1&gt;상품·기준!$C$15,"",A137+1))</f>
        <v/>
      </c>
      <c r="B138" s="13" t="str">
        <f>IF(A138="","",SUMIFS(입출고기록!$L$7:$L$306,입출고기록!$B$7:$B$306,"판매출고",입출고기록!$A$7:$A$306,A138,입출고기록!$H$7:$H$306,"&lt;&gt;아니오"))</f>
        <v/>
      </c>
      <c r="C138" s="3"/>
      <c r="D138" s="3"/>
      <c r="E138" s="6"/>
      <c r="F138" s="3"/>
    </row>
    <row r="139" spans="1:6">
      <c r="A139" s="28" t="str">
        <f>IF(A138="","",IF(A138+1&gt;상품·기준!$C$15,"",A138+1))</f>
        <v/>
      </c>
      <c r="B139" s="13" t="str">
        <f>IF(A139="","",SUMIFS(입출고기록!$L$7:$L$306,입출고기록!$B$7:$B$306,"판매출고",입출고기록!$A$7:$A$306,A139,입출고기록!$H$7:$H$306,"&lt;&gt;아니오"))</f>
        <v/>
      </c>
      <c r="C139" s="3"/>
      <c r="D139" s="3"/>
      <c r="E139" s="6"/>
      <c r="F139" s="3"/>
    </row>
    <row r="140" spans="1:6">
      <c r="A140" s="28" t="str">
        <f>IF(A139="","",IF(A139+1&gt;상품·기준!$C$15,"",A139+1))</f>
        <v/>
      </c>
      <c r="B140" s="13" t="str">
        <f>IF(A140="","",SUMIFS(입출고기록!$L$7:$L$306,입출고기록!$B$7:$B$306,"판매출고",입출고기록!$A$7:$A$306,A140,입출고기록!$H$7:$H$306,"&lt;&gt;아니오"))</f>
        <v/>
      </c>
      <c r="C140" s="3"/>
      <c r="D140" s="3"/>
      <c r="E140" s="6"/>
      <c r="F140" s="3"/>
    </row>
    <row r="141" spans="1:6">
      <c r="A141" s="28" t="str">
        <f>IF(A140="","",IF(A140+1&gt;상품·기준!$C$15,"",A140+1))</f>
        <v/>
      </c>
      <c r="B141" s="13" t="str">
        <f>IF(A141="","",SUMIFS(입출고기록!$L$7:$L$306,입출고기록!$B$7:$B$306,"판매출고",입출고기록!$A$7:$A$306,A141,입출고기록!$H$7:$H$306,"&lt;&gt;아니오"))</f>
        <v/>
      </c>
      <c r="C141" s="3"/>
      <c r="D141" s="3"/>
      <c r="E141" s="6"/>
      <c r="F141" s="3"/>
    </row>
    <row r="142" spans="1:6">
      <c r="A142" s="28" t="str">
        <f>IF(A141="","",IF(A141+1&gt;상품·기준!$C$15,"",A141+1))</f>
        <v/>
      </c>
      <c r="B142" s="13" t="str">
        <f>IF(A142="","",SUMIFS(입출고기록!$L$7:$L$306,입출고기록!$B$7:$B$306,"판매출고",입출고기록!$A$7:$A$306,A142,입출고기록!$H$7:$H$306,"&lt;&gt;아니오"))</f>
        <v/>
      </c>
      <c r="C142" s="3"/>
      <c r="D142" s="3"/>
      <c r="E142" s="6"/>
      <c r="F142" s="3"/>
    </row>
    <row r="143" spans="1:6">
      <c r="A143" s="28" t="str">
        <f>IF(A142="","",IF(A142+1&gt;상품·기준!$C$15,"",A142+1))</f>
        <v/>
      </c>
      <c r="B143" s="13" t="str">
        <f>IF(A143="","",SUMIFS(입출고기록!$L$7:$L$306,입출고기록!$B$7:$B$306,"판매출고",입출고기록!$A$7:$A$306,A143,입출고기록!$H$7:$H$306,"&lt;&gt;아니오"))</f>
        <v/>
      </c>
      <c r="C143" s="3"/>
      <c r="D143" s="3"/>
      <c r="E143" s="6"/>
      <c r="F143" s="3"/>
    </row>
    <row r="144" spans="1:6">
      <c r="A144" s="28" t="str">
        <f>IF(A143="","",IF(A143+1&gt;상품·기준!$C$15,"",A143+1))</f>
        <v/>
      </c>
      <c r="B144" s="13" t="str">
        <f>IF(A144="","",SUMIFS(입출고기록!$L$7:$L$306,입출고기록!$B$7:$B$306,"판매출고",입출고기록!$A$7:$A$306,A144,입출고기록!$H$7:$H$306,"&lt;&gt;아니오"))</f>
        <v/>
      </c>
      <c r="C144" s="3"/>
      <c r="D144" s="3"/>
      <c r="E144" s="6"/>
      <c r="F144" s="3"/>
    </row>
    <row r="145" spans="1:6">
      <c r="A145" s="28" t="str">
        <f>IF(A144="","",IF(A144+1&gt;상품·기준!$C$15,"",A144+1))</f>
        <v/>
      </c>
      <c r="B145" s="13" t="str">
        <f>IF(A145="","",SUMIFS(입출고기록!$L$7:$L$306,입출고기록!$B$7:$B$306,"판매출고",입출고기록!$A$7:$A$306,A145,입출고기록!$H$7:$H$306,"&lt;&gt;아니오"))</f>
        <v/>
      </c>
      <c r="C145" s="3"/>
      <c r="D145" s="3"/>
      <c r="E145" s="6"/>
      <c r="F145" s="3"/>
    </row>
    <row r="146" spans="1:6">
      <c r="A146" s="28" t="str">
        <f>IF(A145="","",IF(A145+1&gt;상품·기준!$C$15,"",A145+1))</f>
        <v/>
      </c>
      <c r="B146" s="13" t="str">
        <f>IF(A146="","",SUMIFS(입출고기록!$L$7:$L$306,입출고기록!$B$7:$B$306,"판매출고",입출고기록!$A$7:$A$306,A146,입출고기록!$H$7:$H$306,"&lt;&gt;아니오"))</f>
        <v/>
      </c>
      <c r="C146" s="3"/>
      <c r="D146" s="3"/>
      <c r="E146" s="6"/>
      <c r="F146" s="3"/>
    </row>
    <row r="147" spans="1:6">
      <c r="A147" s="28" t="str">
        <f>IF(A146="","",IF(A146+1&gt;상품·기준!$C$15,"",A146+1))</f>
        <v/>
      </c>
      <c r="B147" s="13" t="str">
        <f>IF(A147="","",SUMIFS(입출고기록!$L$7:$L$306,입출고기록!$B$7:$B$306,"판매출고",입출고기록!$A$7:$A$306,A147,입출고기록!$H$7:$H$306,"&lt;&gt;아니오"))</f>
        <v/>
      </c>
      <c r="C147" s="3"/>
      <c r="D147" s="3"/>
      <c r="E147" s="6"/>
      <c r="F147" s="3"/>
    </row>
    <row r="148" spans="1:6">
      <c r="A148" s="28" t="str">
        <f>IF(A147="","",IF(A147+1&gt;상품·기준!$C$15,"",A147+1))</f>
        <v/>
      </c>
      <c r="B148" s="13" t="str">
        <f>IF(A148="","",SUMIFS(입출고기록!$L$7:$L$306,입출고기록!$B$7:$B$306,"판매출고",입출고기록!$A$7:$A$306,A148,입출고기록!$H$7:$H$306,"&lt;&gt;아니오"))</f>
        <v/>
      </c>
      <c r="C148" s="3"/>
      <c r="D148" s="3"/>
      <c r="E148" s="6"/>
      <c r="F148" s="3"/>
    </row>
    <row r="149" spans="1:6">
      <c r="A149" s="28" t="str">
        <f>IF(A148="","",IF(A148+1&gt;상품·기준!$C$15,"",A148+1))</f>
        <v/>
      </c>
      <c r="B149" s="13" t="str">
        <f>IF(A149="","",SUMIFS(입출고기록!$L$7:$L$306,입출고기록!$B$7:$B$306,"판매출고",입출고기록!$A$7:$A$306,A149,입출고기록!$H$7:$H$306,"&lt;&gt;아니오"))</f>
        <v/>
      </c>
      <c r="C149" s="3"/>
      <c r="D149" s="3"/>
      <c r="E149" s="6"/>
      <c r="F149" s="3"/>
    </row>
    <row r="150" spans="1:6">
      <c r="A150" s="28" t="str">
        <f>IF(A149="","",IF(A149+1&gt;상품·기준!$C$15,"",A149+1))</f>
        <v/>
      </c>
      <c r="B150" s="13" t="str">
        <f>IF(A150="","",SUMIFS(입출고기록!$L$7:$L$306,입출고기록!$B$7:$B$306,"판매출고",입출고기록!$A$7:$A$306,A150,입출고기록!$H$7:$H$306,"&lt;&gt;아니오"))</f>
        <v/>
      </c>
      <c r="C150" s="3"/>
      <c r="D150" s="3"/>
      <c r="E150" s="6"/>
      <c r="F150" s="3"/>
    </row>
    <row r="151" spans="1:6">
      <c r="A151" s="28" t="str">
        <f>IF(A150="","",IF(A150+1&gt;상품·기준!$C$15,"",A150+1))</f>
        <v/>
      </c>
      <c r="B151" s="13" t="str">
        <f>IF(A151="","",SUMIFS(입출고기록!$L$7:$L$306,입출고기록!$B$7:$B$306,"판매출고",입출고기록!$A$7:$A$306,A151,입출고기록!$H$7:$H$306,"&lt;&gt;아니오"))</f>
        <v/>
      </c>
      <c r="C151" s="3"/>
      <c r="D151" s="3"/>
      <c r="E151" s="6"/>
      <c r="F151" s="3"/>
    </row>
    <row r="152" spans="1:6">
      <c r="A152" s="28" t="str">
        <f>IF(A151="","",IF(A151+1&gt;상품·기준!$C$15,"",A151+1))</f>
        <v/>
      </c>
      <c r="B152" s="13" t="str">
        <f>IF(A152="","",SUMIFS(입출고기록!$L$7:$L$306,입출고기록!$B$7:$B$306,"판매출고",입출고기록!$A$7:$A$306,A152,입출고기록!$H$7:$H$306,"&lt;&gt;아니오"))</f>
        <v/>
      </c>
      <c r="C152" s="3"/>
      <c r="D152" s="3"/>
      <c r="E152" s="6"/>
      <c r="F152" s="3"/>
    </row>
    <row r="153" spans="1:6">
      <c r="A153" s="28" t="str">
        <f>IF(A152="","",IF(A152+1&gt;상품·기준!$C$15,"",A152+1))</f>
        <v/>
      </c>
      <c r="B153" s="13" t="str">
        <f>IF(A153="","",SUMIFS(입출고기록!$L$7:$L$306,입출고기록!$B$7:$B$306,"판매출고",입출고기록!$A$7:$A$306,A153,입출고기록!$H$7:$H$306,"&lt;&gt;아니오"))</f>
        <v/>
      </c>
      <c r="C153" s="3"/>
      <c r="D153" s="3"/>
      <c r="E153" s="6"/>
      <c r="F153" s="3"/>
    </row>
    <row r="154" spans="1:6">
      <c r="A154" s="28" t="str">
        <f>IF(A153="","",IF(A153+1&gt;상품·기준!$C$15,"",A153+1))</f>
        <v/>
      </c>
      <c r="B154" s="13" t="str">
        <f>IF(A154="","",SUMIFS(입출고기록!$L$7:$L$306,입출고기록!$B$7:$B$306,"판매출고",입출고기록!$A$7:$A$306,A154,입출고기록!$H$7:$H$306,"&lt;&gt;아니오"))</f>
        <v/>
      </c>
      <c r="C154" s="3"/>
      <c r="D154" s="3"/>
      <c r="E154" s="6"/>
      <c r="F154" s="3"/>
    </row>
    <row r="155" spans="1:6">
      <c r="A155" s="28" t="str">
        <f>IF(A154="","",IF(A154+1&gt;상품·기준!$C$15,"",A154+1))</f>
        <v/>
      </c>
      <c r="B155" s="13" t="str">
        <f>IF(A155="","",SUMIFS(입출고기록!$L$7:$L$306,입출고기록!$B$7:$B$306,"판매출고",입출고기록!$A$7:$A$306,A155,입출고기록!$H$7:$H$306,"&lt;&gt;아니오"))</f>
        <v/>
      </c>
      <c r="C155" s="3"/>
      <c r="D155" s="3"/>
      <c r="E155" s="6"/>
      <c r="F155" s="3"/>
    </row>
    <row r="156" spans="1:6">
      <c r="A156" s="28" t="str">
        <f>IF(A155="","",IF(A155+1&gt;상품·기준!$C$15,"",A155+1))</f>
        <v/>
      </c>
      <c r="B156" s="13" t="str">
        <f>IF(A156="","",SUMIFS(입출고기록!$L$7:$L$306,입출고기록!$B$7:$B$306,"판매출고",입출고기록!$A$7:$A$306,A156,입출고기록!$H$7:$H$306,"&lt;&gt;아니오"))</f>
        <v/>
      </c>
      <c r="C156" s="3"/>
      <c r="D156" s="3"/>
      <c r="E156" s="6"/>
      <c r="F156" s="3"/>
    </row>
    <row r="157" spans="1:6">
      <c r="A157" s="28" t="str">
        <f>IF(A156="","",IF(A156+1&gt;상품·기준!$C$15,"",A156+1))</f>
        <v/>
      </c>
      <c r="B157" s="13" t="str">
        <f>IF(A157="","",SUMIFS(입출고기록!$L$7:$L$306,입출고기록!$B$7:$B$306,"판매출고",입출고기록!$A$7:$A$306,A157,입출고기록!$H$7:$H$306,"&lt;&gt;아니오"))</f>
        <v/>
      </c>
      <c r="C157" s="3"/>
      <c r="D157" s="3"/>
      <c r="E157" s="6"/>
      <c r="F157" s="3"/>
    </row>
    <row r="158" spans="1:6">
      <c r="A158" s="28" t="str">
        <f>IF(A157="","",IF(A157+1&gt;상품·기준!$C$15,"",A157+1))</f>
        <v/>
      </c>
      <c r="B158" s="13" t="str">
        <f>IF(A158="","",SUMIFS(입출고기록!$L$7:$L$306,입출고기록!$B$7:$B$306,"판매출고",입출고기록!$A$7:$A$306,A158,입출고기록!$H$7:$H$306,"&lt;&gt;아니오"))</f>
        <v/>
      </c>
      <c r="C158" s="3"/>
      <c r="D158" s="3"/>
      <c r="E158" s="6"/>
      <c r="F158" s="3"/>
    </row>
    <row r="159" spans="1:6">
      <c r="A159" s="28" t="str">
        <f>IF(A158="","",IF(A158+1&gt;상품·기준!$C$15,"",A158+1))</f>
        <v/>
      </c>
      <c r="B159" s="13" t="str">
        <f>IF(A159="","",SUMIFS(입출고기록!$L$7:$L$306,입출고기록!$B$7:$B$306,"판매출고",입출고기록!$A$7:$A$306,A159,입출고기록!$H$7:$H$306,"&lt;&gt;아니오"))</f>
        <v/>
      </c>
      <c r="C159" s="3"/>
      <c r="D159" s="3"/>
      <c r="E159" s="6"/>
      <c r="F159" s="3"/>
    </row>
    <row r="160" spans="1:6">
      <c r="A160" s="28" t="str">
        <f>IF(A159="","",IF(A159+1&gt;상품·기준!$C$15,"",A159+1))</f>
        <v/>
      </c>
      <c r="B160" s="13" t="str">
        <f>IF(A160="","",SUMIFS(입출고기록!$L$7:$L$306,입출고기록!$B$7:$B$306,"판매출고",입출고기록!$A$7:$A$306,A160,입출고기록!$H$7:$H$306,"&lt;&gt;아니오"))</f>
        <v/>
      </c>
      <c r="C160" s="3"/>
      <c r="D160" s="3"/>
      <c r="E160" s="6"/>
      <c r="F160" s="3"/>
    </row>
    <row r="161" spans="1:6">
      <c r="A161" s="28" t="str">
        <f>IF(A160="","",IF(A160+1&gt;상품·기준!$C$15,"",A160+1))</f>
        <v/>
      </c>
      <c r="B161" s="13" t="str">
        <f>IF(A161="","",SUMIFS(입출고기록!$L$7:$L$306,입출고기록!$B$7:$B$306,"판매출고",입출고기록!$A$7:$A$306,A161,입출고기록!$H$7:$H$306,"&lt;&gt;아니오"))</f>
        <v/>
      </c>
      <c r="C161" s="3"/>
      <c r="D161" s="3"/>
      <c r="E161" s="6"/>
      <c r="F161" s="3"/>
    </row>
    <row r="162" spans="1:6">
      <c r="A162" s="28" t="str">
        <f>IF(A161="","",IF(A161+1&gt;상품·기준!$C$15,"",A161+1))</f>
        <v/>
      </c>
      <c r="B162" s="13" t="str">
        <f>IF(A162="","",SUMIFS(입출고기록!$L$7:$L$306,입출고기록!$B$7:$B$306,"판매출고",입출고기록!$A$7:$A$306,A162,입출고기록!$H$7:$H$306,"&lt;&gt;아니오"))</f>
        <v/>
      </c>
      <c r="C162" s="3"/>
      <c r="D162" s="3"/>
      <c r="E162" s="6"/>
      <c r="F162" s="3"/>
    </row>
    <row r="163" spans="1:6">
      <c r="A163" s="28" t="str">
        <f>IF(A162="","",IF(A162+1&gt;상품·기준!$C$15,"",A162+1))</f>
        <v/>
      </c>
      <c r="B163" s="13" t="str">
        <f>IF(A163="","",SUMIFS(입출고기록!$L$7:$L$306,입출고기록!$B$7:$B$306,"판매출고",입출고기록!$A$7:$A$306,A163,입출고기록!$H$7:$H$306,"&lt;&gt;아니오"))</f>
        <v/>
      </c>
      <c r="C163" s="3"/>
      <c r="D163" s="3"/>
      <c r="E163" s="6"/>
      <c r="F163" s="3"/>
    </row>
    <row r="164" spans="1:6">
      <c r="A164" s="28" t="str">
        <f>IF(A163="","",IF(A163+1&gt;상품·기준!$C$15,"",A163+1))</f>
        <v/>
      </c>
      <c r="B164" s="13" t="str">
        <f>IF(A164="","",SUMIFS(입출고기록!$L$7:$L$306,입출고기록!$B$7:$B$306,"판매출고",입출고기록!$A$7:$A$306,A164,입출고기록!$H$7:$H$306,"&lt;&gt;아니오"))</f>
        <v/>
      </c>
      <c r="C164" s="3"/>
      <c r="D164" s="3"/>
      <c r="E164" s="6"/>
      <c r="F164" s="3"/>
    </row>
    <row r="165" spans="1:6">
      <c r="A165" s="28" t="str">
        <f>IF(A164="","",IF(A164+1&gt;상품·기준!$C$15,"",A164+1))</f>
        <v/>
      </c>
      <c r="B165" s="13" t="str">
        <f>IF(A165="","",SUMIFS(입출고기록!$L$7:$L$306,입출고기록!$B$7:$B$306,"판매출고",입출고기록!$A$7:$A$306,A165,입출고기록!$H$7:$H$306,"&lt;&gt;아니오"))</f>
        <v/>
      </c>
      <c r="C165" s="3"/>
      <c r="D165" s="3"/>
      <c r="E165" s="6"/>
      <c r="F165" s="3"/>
    </row>
    <row r="166" spans="1:6">
      <c r="A166" s="28" t="str">
        <f>IF(A165="","",IF(A165+1&gt;상품·기준!$C$15,"",A165+1))</f>
        <v/>
      </c>
      <c r="B166" s="13" t="str">
        <f>IF(A166="","",SUMIFS(입출고기록!$L$7:$L$306,입출고기록!$B$7:$B$306,"판매출고",입출고기록!$A$7:$A$306,A166,입출고기록!$H$7:$H$306,"&lt;&gt;아니오"))</f>
        <v/>
      </c>
      <c r="C166" s="3"/>
      <c r="D166" s="3"/>
      <c r="E166" s="6"/>
      <c r="F166" s="3"/>
    </row>
    <row r="167" spans="1:6">
      <c r="A167" s="28" t="str">
        <f>IF(A166="","",IF(A166+1&gt;상품·기준!$C$15,"",A166+1))</f>
        <v/>
      </c>
      <c r="B167" s="13" t="str">
        <f>IF(A167="","",SUMIFS(입출고기록!$L$7:$L$306,입출고기록!$B$7:$B$306,"판매출고",입출고기록!$A$7:$A$306,A167,입출고기록!$H$7:$H$306,"&lt;&gt;아니오"))</f>
        <v/>
      </c>
      <c r="C167" s="3"/>
      <c r="D167" s="3"/>
      <c r="E167" s="6"/>
      <c r="F167" s="3"/>
    </row>
    <row r="168" spans="1:6">
      <c r="A168" s="28" t="str">
        <f>IF(A167="","",IF(A167+1&gt;상품·기준!$C$15,"",A167+1))</f>
        <v/>
      </c>
      <c r="B168" s="13" t="str">
        <f>IF(A168="","",SUMIFS(입출고기록!$L$7:$L$306,입출고기록!$B$7:$B$306,"판매출고",입출고기록!$A$7:$A$306,A168,입출고기록!$H$7:$H$306,"&lt;&gt;아니오"))</f>
        <v/>
      </c>
      <c r="C168" s="3"/>
      <c r="D168" s="3"/>
      <c r="E168" s="6"/>
      <c r="F168" s="3"/>
    </row>
    <row r="169" spans="1:6">
      <c r="A169" s="28" t="str">
        <f>IF(A168="","",IF(A168+1&gt;상품·기준!$C$15,"",A168+1))</f>
        <v/>
      </c>
      <c r="B169" s="13" t="str">
        <f>IF(A169="","",SUMIFS(입출고기록!$L$7:$L$306,입출고기록!$B$7:$B$306,"판매출고",입출고기록!$A$7:$A$306,A169,입출고기록!$H$7:$H$306,"&lt;&gt;아니오"))</f>
        <v/>
      </c>
      <c r="C169" s="3"/>
      <c r="D169" s="3"/>
      <c r="E169" s="6"/>
      <c r="F169" s="3"/>
    </row>
    <row r="170" spans="1:6">
      <c r="A170" s="28" t="str">
        <f>IF(A169="","",IF(A169+1&gt;상품·기준!$C$15,"",A169+1))</f>
        <v/>
      </c>
      <c r="B170" s="13" t="str">
        <f>IF(A170="","",SUMIFS(입출고기록!$L$7:$L$306,입출고기록!$B$7:$B$306,"판매출고",입출고기록!$A$7:$A$306,A170,입출고기록!$H$7:$H$306,"&lt;&gt;아니오"))</f>
        <v/>
      </c>
      <c r="C170" s="3"/>
      <c r="D170" s="3"/>
      <c r="E170" s="6"/>
      <c r="F170" s="3"/>
    </row>
    <row r="171" spans="1:6">
      <c r="A171" s="28" t="str">
        <f>IF(A170="","",IF(A170+1&gt;상품·기준!$C$15,"",A170+1))</f>
        <v/>
      </c>
      <c r="B171" s="13" t="str">
        <f>IF(A171="","",SUMIFS(입출고기록!$L$7:$L$306,입출고기록!$B$7:$B$306,"판매출고",입출고기록!$A$7:$A$306,A171,입출고기록!$H$7:$H$306,"&lt;&gt;아니오"))</f>
        <v/>
      </c>
      <c r="C171" s="3"/>
      <c r="D171" s="3"/>
      <c r="E171" s="6"/>
      <c r="F171" s="3"/>
    </row>
    <row r="172" spans="1:6">
      <c r="A172" s="28" t="str">
        <f>IF(A171="","",IF(A171+1&gt;상품·기준!$C$15,"",A171+1))</f>
        <v/>
      </c>
      <c r="B172" s="13" t="str">
        <f>IF(A172="","",SUMIFS(입출고기록!$L$7:$L$306,입출고기록!$B$7:$B$306,"판매출고",입출고기록!$A$7:$A$306,A172,입출고기록!$H$7:$H$306,"&lt;&gt;아니오"))</f>
        <v/>
      </c>
      <c r="C172" s="3"/>
      <c r="D172" s="3"/>
      <c r="E172" s="6"/>
      <c r="F172" s="3"/>
    </row>
    <row r="173" spans="1:6">
      <c r="A173" s="28" t="str">
        <f>IF(A172="","",IF(A172+1&gt;상품·기준!$C$15,"",A172+1))</f>
        <v/>
      </c>
      <c r="B173" s="13" t="str">
        <f>IF(A173="","",SUMIFS(입출고기록!$L$7:$L$306,입출고기록!$B$7:$B$306,"판매출고",입출고기록!$A$7:$A$306,A173,입출고기록!$H$7:$H$306,"&lt;&gt;아니오"))</f>
        <v/>
      </c>
      <c r="C173" s="3"/>
      <c r="D173" s="3"/>
      <c r="E173" s="6"/>
      <c r="F173" s="3"/>
    </row>
    <row r="174" spans="1:6">
      <c r="A174" s="28" t="str">
        <f>IF(A173="","",IF(A173+1&gt;상품·기준!$C$15,"",A173+1))</f>
        <v/>
      </c>
      <c r="B174" s="13" t="str">
        <f>IF(A174="","",SUMIFS(입출고기록!$L$7:$L$306,입출고기록!$B$7:$B$306,"판매출고",입출고기록!$A$7:$A$306,A174,입출고기록!$H$7:$H$306,"&lt;&gt;아니오"))</f>
        <v/>
      </c>
      <c r="C174" s="3"/>
      <c r="D174" s="3"/>
      <c r="E174" s="6"/>
      <c r="F174" s="3"/>
    </row>
    <row r="175" spans="1:6">
      <c r="A175" s="28" t="str">
        <f>IF(A174="","",IF(A174+1&gt;상품·기준!$C$15,"",A174+1))</f>
        <v/>
      </c>
      <c r="B175" s="13" t="str">
        <f>IF(A175="","",SUMIFS(입출고기록!$L$7:$L$306,입출고기록!$B$7:$B$306,"판매출고",입출고기록!$A$7:$A$306,A175,입출고기록!$H$7:$H$306,"&lt;&gt;아니오"))</f>
        <v/>
      </c>
      <c r="C175" s="3"/>
      <c r="D175" s="3"/>
      <c r="E175" s="6"/>
      <c r="F175" s="3"/>
    </row>
    <row r="176" spans="1:6">
      <c r="A176" s="28" t="str">
        <f>IF(A175="","",IF(A175+1&gt;상품·기준!$C$15,"",A175+1))</f>
        <v/>
      </c>
      <c r="B176" s="13" t="str">
        <f>IF(A176="","",SUMIFS(입출고기록!$L$7:$L$306,입출고기록!$B$7:$B$306,"판매출고",입출고기록!$A$7:$A$306,A176,입출고기록!$H$7:$H$306,"&lt;&gt;아니오"))</f>
        <v/>
      </c>
      <c r="C176" s="3"/>
      <c r="D176" s="3"/>
      <c r="E176" s="6"/>
      <c r="F176" s="3"/>
    </row>
    <row r="177" spans="1:6">
      <c r="A177" s="28" t="str">
        <f>IF(A176="","",IF(A176+1&gt;상품·기준!$C$15,"",A176+1))</f>
        <v/>
      </c>
      <c r="B177" s="13" t="str">
        <f>IF(A177="","",SUMIFS(입출고기록!$L$7:$L$306,입출고기록!$B$7:$B$306,"판매출고",입출고기록!$A$7:$A$306,A177,입출고기록!$H$7:$H$306,"&lt;&gt;아니오"))</f>
        <v/>
      </c>
      <c r="C177" s="3"/>
      <c r="D177" s="3"/>
      <c r="E177" s="6"/>
      <c r="F177" s="3"/>
    </row>
    <row r="178" spans="1:6">
      <c r="A178" s="28" t="str">
        <f>IF(A177="","",IF(A177+1&gt;상품·기준!$C$15,"",A177+1))</f>
        <v/>
      </c>
      <c r="B178" s="13" t="str">
        <f>IF(A178="","",SUMIFS(입출고기록!$L$7:$L$306,입출고기록!$B$7:$B$306,"판매출고",입출고기록!$A$7:$A$306,A178,입출고기록!$H$7:$H$306,"&lt;&gt;아니오"))</f>
        <v/>
      </c>
      <c r="C178" s="3"/>
      <c r="D178" s="3"/>
      <c r="E178" s="6"/>
      <c r="F178" s="3"/>
    </row>
    <row r="179" spans="1:6">
      <c r="A179" s="28" t="str">
        <f>IF(A178="","",IF(A178+1&gt;상품·기준!$C$15,"",A178+1))</f>
        <v/>
      </c>
      <c r="B179" s="13" t="str">
        <f>IF(A179="","",SUMIFS(입출고기록!$L$7:$L$306,입출고기록!$B$7:$B$306,"판매출고",입출고기록!$A$7:$A$306,A179,입출고기록!$H$7:$H$306,"&lt;&gt;아니오"))</f>
        <v/>
      </c>
      <c r="C179" s="3"/>
      <c r="D179" s="3"/>
      <c r="E179" s="6"/>
      <c r="F179" s="3"/>
    </row>
    <row r="180" spans="1:6">
      <c r="A180" s="28" t="str">
        <f>IF(A179="","",IF(A179+1&gt;상품·기준!$C$15,"",A179+1))</f>
        <v/>
      </c>
      <c r="B180" s="13" t="str">
        <f>IF(A180="","",SUMIFS(입출고기록!$L$7:$L$306,입출고기록!$B$7:$B$306,"판매출고",입출고기록!$A$7:$A$306,A180,입출고기록!$H$7:$H$306,"&lt;&gt;아니오"))</f>
        <v/>
      </c>
      <c r="C180" s="3"/>
      <c r="D180" s="3"/>
      <c r="E180" s="6"/>
      <c r="F180" s="3"/>
    </row>
    <row r="181" spans="1:6">
      <c r="A181" s="28" t="str">
        <f>IF(A180="","",IF(A180+1&gt;상품·기준!$C$15,"",A180+1))</f>
        <v/>
      </c>
      <c r="B181" s="13" t="str">
        <f>IF(A181="","",SUMIFS(입출고기록!$L$7:$L$306,입출고기록!$B$7:$B$306,"판매출고",입출고기록!$A$7:$A$306,A181,입출고기록!$H$7:$H$306,"&lt;&gt;아니오"))</f>
        <v/>
      </c>
      <c r="C181" s="3"/>
      <c r="D181" s="3"/>
      <c r="E181" s="6"/>
      <c r="F181" s="3"/>
    </row>
    <row r="182" spans="1:6">
      <c r="A182" s="28" t="str">
        <f>IF(A181="","",IF(A181+1&gt;상품·기준!$C$15,"",A181+1))</f>
        <v/>
      </c>
      <c r="B182" s="13" t="str">
        <f>IF(A182="","",SUMIFS(입출고기록!$L$7:$L$306,입출고기록!$B$7:$B$306,"판매출고",입출고기록!$A$7:$A$306,A182,입출고기록!$H$7:$H$306,"&lt;&gt;아니오"))</f>
        <v/>
      </c>
      <c r="C182" s="3"/>
      <c r="D182" s="3"/>
      <c r="E182" s="6"/>
      <c r="F182" s="3"/>
    </row>
    <row r="183" spans="1:6">
      <c r="A183" s="28" t="str">
        <f>IF(A182="","",IF(A182+1&gt;상품·기준!$C$15,"",A182+1))</f>
        <v/>
      </c>
      <c r="B183" s="13" t="str">
        <f>IF(A183="","",SUMIFS(입출고기록!$L$7:$L$306,입출고기록!$B$7:$B$306,"판매출고",입출고기록!$A$7:$A$306,A183,입출고기록!$H$7:$H$306,"&lt;&gt;아니오"))</f>
        <v/>
      </c>
      <c r="C183" s="3"/>
      <c r="D183" s="3"/>
      <c r="E183" s="6"/>
      <c r="F183" s="3"/>
    </row>
    <row r="184" spans="1:6">
      <c r="A184" s="28" t="str">
        <f>IF(A183="","",IF(A183+1&gt;상품·기준!$C$15,"",A183+1))</f>
        <v/>
      </c>
      <c r="B184" s="13" t="str">
        <f>IF(A184="","",SUMIFS(입출고기록!$L$7:$L$306,입출고기록!$B$7:$B$306,"판매출고",입출고기록!$A$7:$A$306,A184,입출고기록!$H$7:$H$306,"&lt;&gt;아니오"))</f>
        <v/>
      </c>
      <c r="C184" s="3"/>
      <c r="D184" s="3"/>
      <c r="E184" s="6"/>
      <c r="F184" s="3"/>
    </row>
    <row r="185" spans="1:6">
      <c r="A185" s="28" t="str">
        <f>IF(A184="","",IF(A184+1&gt;상품·기준!$C$15,"",A184+1))</f>
        <v/>
      </c>
      <c r="B185" s="13" t="str">
        <f>IF(A185="","",SUMIFS(입출고기록!$L$7:$L$306,입출고기록!$B$7:$B$306,"판매출고",입출고기록!$A$7:$A$306,A185,입출고기록!$H$7:$H$306,"&lt;&gt;아니오"))</f>
        <v/>
      </c>
      <c r="C185" s="3"/>
      <c r="D185" s="3"/>
      <c r="E185" s="6"/>
      <c r="F185" s="3"/>
    </row>
    <row r="186" spans="1:6">
      <c r="A186" s="28" t="str">
        <f>IF(A185="","",IF(A185+1&gt;상품·기준!$C$15,"",A185+1))</f>
        <v/>
      </c>
      <c r="B186" s="13" t="str">
        <f>IF(A186="","",SUMIFS(입출고기록!$L$7:$L$306,입출고기록!$B$7:$B$306,"판매출고",입출고기록!$A$7:$A$306,A186,입출고기록!$H$7:$H$306,"&lt;&gt;아니오"))</f>
        <v/>
      </c>
      <c r="C186" s="3"/>
      <c r="D186" s="3"/>
      <c r="E186" s="6"/>
      <c r="F186" s="3"/>
    </row>
    <row r="187" spans="1:6">
      <c r="A187" s="28" t="str">
        <f>IF(A186="","",IF(A186+1&gt;상품·기준!$C$15,"",A186+1))</f>
        <v/>
      </c>
      <c r="B187" s="13" t="str">
        <f>IF(A187="","",SUMIFS(입출고기록!$L$7:$L$306,입출고기록!$B$7:$B$306,"판매출고",입출고기록!$A$7:$A$306,A187,입출고기록!$H$7:$H$306,"&lt;&gt;아니오"))</f>
        <v/>
      </c>
      <c r="C187" s="3"/>
      <c r="D187" s="3"/>
      <c r="E187" s="6"/>
      <c r="F187" s="3"/>
    </row>
    <row r="188" spans="1:6">
      <c r="A188" s="28" t="str">
        <f>IF(A187="","",IF(A187+1&gt;상품·기준!$C$15,"",A187+1))</f>
        <v/>
      </c>
      <c r="B188" s="13" t="str">
        <f>IF(A188="","",SUMIFS(입출고기록!$L$7:$L$306,입출고기록!$B$7:$B$306,"판매출고",입출고기록!$A$7:$A$306,A188,입출고기록!$H$7:$H$306,"&lt;&gt;아니오"))</f>
        <v/>
      </c>
      <c r="C188" s="3"/>
      <c r="D188" s="3"/>
      <c r="E188" s="6"/>
      <c r="F188" s="3"/>
    </row>
    <row r="189" spans="1:6">
      <c r="A189" s="28" t="str">
        <f>IF(A188="","",IF(A188+1&gt;상품·기준!$C$15,"",A188+1))</f>
        <v/>
      </c>
      <c r="B189" s="13" t="str">
        <f>IF(A189="","",SUMIFS(입출고기록!$L$7:$L$306,입출고기록!$B$7:$B$306,"판매출고",입출고기록!$A$7:$A$306,A189,입출고기록!$H$7:$H$306,"&lt;&gt;아니오"))</f>
        <v/>
      </c>
      <c r="C189" s="3"/>
      <c r="D189" s="3"/>
      <c r="E189" s="6"/>
      <c r="F189" s="3"/>
    </row>
    <row r="190" spans="1:6">
      <c r="A190" s="28" t="str">
        <f>IF(A189="","",IF(A189+1&gt;상품·기준!$C$15,"",A189+1))</f>
        <v/>
      </c>
      <c r="B190" s="13" t="str">
        <f>IF(A190="","",SUMIFS(입출고기록!$L$7:$L$306,입출고기록!$B$7:$B$306,"판매출고",입출고기록!$A$7:$A$306,A190,입출고기록!$H$7:$H$306,"&lt;&gt;아니오"))</f>
        <v/>
      </c>
      <c r="C190" s="3"/>
      <c r="D190" s="3"/>
      <c r="E190" s="6"/>
      <c r="F190" s="3"/>
    </row>
    <row r="191" spans="1:6">
      <c r="A191" s="28" t="str">
        <f>IF(A190="","",IF(A190+1&gt;상품·기준!$C$15,"",A190+1))</f>
        <v/>
      </c>
      <c r="B191" s="13" t="str">
        <f>IF(A191="","",SUMIFS(입출고기록!$L$7:$L$306,입출고기록!$B$7:$B$306,"판매출고",입출고기록!$A$7:$A$306,A191,입출고기록!$H$7:$H$306,"&lt;&gt;아니오"))</f>
        <v/>
      </c>
      <c r="C191" s="3"/>
      <c r="D191" s="3"/>
      <c r="E191" s="6"/>
      <c r="F191" s="3"/>
    </row>
    <row r="192" spans="1:6">
      <c r="A192" s="28" t="str">
        <f>IF(A191="","",IF(A191+1&gt;상품·기준!$C$15,"",A191+1))</f>
        <v/>
      </c>
      <c r="B192" s="13" t="str">
        <f>IF(A192="","",SUMIFS(입출고기록!$L$7:$L$306,입출고기록!$B$7:$B$306,"판매출고",입출고기록!$A$7:$A$306,A192,입출고기록!$H$7:$H$306,"&lt;&gt;아니오"))</f>
        <v/>
      </c>
      <c r="C192" s="3"/>
      <c r="D192" s="3"/>
      <c r="E192" s="6"/>
      <c r="F192" s="3"/>
    </row>
    <row r="193" spans="1:6">
      <c r="A193" s="28" t="str">
        <f>IF(A192="","",IF(A192+1&gt;상품·기준!$C$15,"",A192+1))</f>
        <v/>
      </c>
      <c r="B193" s="13" t="str">
        <f>IF(A193="","",SUMIFS(입출고기록!$L$7:$L$306,입출고기록!$B$7:$B$306,"판매출고",입출고기록!$A$7:$A$306,A193,입출고기록!$H$7:$H$306,"&lt;&gt;아니오"))</f>
        <v/>
      </c>
      <c r="C193" s="3"/>
      <c r="D193" s="3"/>
      <c r="E193" s="6"/>
      <c r="F193" s="3"/>
    </row>
    <row r="194" spans="1:6">
      <c r="A194" s="28" t="str">
        <f>IF(A193="","",IF(A193+1&gt;상품·기준!$C$15,"",A193+1))</f>
        <v/>
      </c>
      <c r="B194" s="13" t="str">
        <f>IF(A194="","",SUMIFS(입출고기록!$L$7:$L$306,입출고기록!$B$7:$B$306,"판매출고",입출고기록!$A$7:$A$306,A194,입출고기록!$H$7:$H$306,"&lt;&gt;아니오"))</f>
        <v/>
      </c>
      <c r="C194" s="3"/>
      <c r="D194" s="3"/>
      <c r="E194" s="6"/>
      <c r="F194" s="3"/>
    </row>
    <row r="195" spans="1:6">
      <c r="A195" s="28" t="str">
        <f>IF(A194="","",IF(A194+1&gt;상품·기준!$C$15,"",A194+1))</f>
        <v/>
      </c>
      <c r="B195" s="13" t="str">
        <f>IF(A195="","",SUMIFS(입출고기록!$L$7:$L$306,입출고기록!$B$7:$B$306,"판매출고",입출고기록!$A$7:$A$306,A195,입출고기록!$H$7:$H$306,"&lt;&gt;아니오"))</f>
        <v/>
      </c>
      <c r="C195" s="3"/>
      <c r="D195" s="3"/>
      <c r="E195" s="6"/>
      <c r="F195" s="3"/>
    </row>
    <row r="196" spans="1:6">
      <c r="A196" s="28" t="str">
        <f>IF(A195="","",IF(A195+1&gt;상품·기준!$C$15,"",A195+1))</f>
        <v/>
      </c>
      <c r="B196" s="13" t="str">
        <f>IF(A196="","",SUMIFS(입출고기록!$L$7:$L$306,입출고기록!$B$7:$B$306,"판매출고",입출고기록!$A$7:$A$306,A196,입출고기록!$H$7:$H$306,"&lt;&gt;아니오"))</f>
        <v/>
      </c>
      <c r="C196" s="3"/>
      <c r="D196" s="3"/>
      <c r="E196" s="6"/>
      <c r="F196" s="3"/>
    </row>
    <row r="197" spans="1:6">
      <c r="A197" s="28" t="str">
        <f>IF(A196="","",IF(A196+1&gt;상품·기준!$C$15,"",A196+1))</f>
        <v/>
      </c>
      <c r="B197" s="13" t="str">
        <f>IF(A197="","",SUMIFS(입출고기록!$L$7:$L$306,입출고기록!$B$7:$B$306,"판매출고",입출고기록!$A$7:$A$306,A197,입출고기록!$H$7:$H$306,"&lt;&gt;아니오"))</f>
        <v/>
      </c>
      <c r="C197" s="3"/>
      <c r="D197" s="3"/>
      <c r="E197" s="6"/>
      <c r="F197" s="3"/>
    </row>
    <row r="198" spans="1:6">
      <c r="A198" s="28" t="str">
        <f>IF(A197="","",IF(A197+1&gt;상품·기준!$C$15,"",A197+1))</f>
        <v/>
      </c>
      <c r="B198" s="13" t="str">
        <f>IF(A198="","",SUMIFS(입출고기록!$L$7:$L$306,입출고기록!$B$7:$B$306,"판매출고",입출고기록!$A$7:$A$306,A198,입출고기록!$H$7:$H$306,"&lt;&gt;아니오"))</f>
        <v/>
      </c>
      <c r="C198" s="3"/>
      <c r="D198" s="3"/>
      <c r="E198" s="6"/>
      <c r="F198" s="3"/>
    </row>
    <row r="199" spans="1:6">
      <c r="A199" s="28" t="str">
        <f>IF(A198="","",IF(A198+1&gt;상품·기준!$C$15,"",A198+1))</f>
        <v/>
      </c>
      <c r="B199" s="13" t="str">
        <f>IF(A199="","",SUMIFS(입출고기록!$L$7:$L$306,입출고기록!$B$7:$B$306,"판매출고",입출고기록!$A$7:$A$306,A199,입출고기록!$H$7:$H$306,"&lt;&gt;아니오"))</f>
        <v/>
      </c>
      <c r="C199" s="3"/>
      <c r="D199" s="3"/>
      <c r="E199" s="6"/>
      <c r="F199" s="3"/>
    </row>
    <row r="200" spans="1:6">
      <c r="A200" s="28" t="str">
        <f>IF(A199="","",IF(A199+1&gt;상품·기준!$C$15,"",A199+1))</f>
        <v/>
      </c>
      <c r="B200" s="13" t="str">
        <f>IF(A200="","",SUMIFS(입출고기록!$L$7:$L$306,입출고기록!$B$7:$B$306,"판매출고",입출고기록!$A$7:$A$306,A200,입출고기록!$H$7:$H$306,"&lt;&gt;아니오"))</f>
        <v/>
      </c>
      <c r="C200" s="3"/>
      <c r="D200" s="3"/>
      <c r="E200" s="6"/>
      <c r="F200" s="3"/>
    </row>
    <row r="201" spans="1:6">
      <c r="A201" s="28" t="str">
        <f>IF(A200="","",IF(A200+1&gt;상품·기준!$C$15,"",A200+1))</f>
        <v/>
      </c>
      <c r="B201" s="13" t="str">
        <f>IF(A201="","",SUMIFS(입출고기록!$L$7:$L$306,입출고기록!$B$7:$B$306,"판매출고",입출고기록!$A$7:$A$306,A201,입출고기록!$H$7:$H$306,"&lt;&gt;아니오"))</f>
        <v/>
      </c>
      <c r="C201" s="3"/>
      <c r="D201" s="3"/>
      <c r="E201" s="6"/>
      <c r="F201" s="3"/>
    </row>
    <row r="202" spans="1:6">
      <c r="A202" s="28" t="str">
        <f>IF(A201="","",IF(A201+1&gt;상품·기준!$C$15,"",A201+1))</f>
        <v/>
      </c>
      <c r="B202" s="13" t="str">
        <f>IF(A202="","",SUMIFS(입출고기록!$L$7:$L$306,입출고기록!$B$7:$B$306,"판매출고",입출고기록!$A$7:$A$306,A202,입출고기록!$H$7:$H$306,"&lt;&gt;아니오"))</f>
        <v/>
      </c>
      <c r="C202" s="3"/>
      <c r="D202" s="3"/>
      <c r="E202" s="6"/>
      <c r="F202" s="3"/>
    </row>
    <row r="203" spans="1:6">
      <c r="A203" s="28" t="str">
        <f>IF(A202="","",IF(A202+1&gt;상품·기준!$C$15,"",A202+1))</f>
        <v/>
      </c>
      <c r="B203" s="13" t="str">
        <f>IF(A203="","",SUMIFS(입출고기록!$L$7:$L$306,입출고기록!$B$7:$B$306,"판매출고",입출고기록!$A$7:$A$306,A203,입출고기록!$H$7:$H$306,"&lt;&gt;아니오"))</f>
        <v/>
      </c>
      <c r="C203" s="3"/>
      <c r="D203" s="3"/>
      <c r="E203" s="6"/>
      <c r="F203" s="3"/>
    </row>
    <row r="204" spans="1:6">
      <c r="A204" s="28" t="str">
        <f>IF(A203="","",IF(A203+1&gt;상품·기준!$C$15,"",A203+1))</f>
        <v/>
      </c>
      <c r="B204" s="13" t="str">
        <f>IF(A204="","",SUMIFS(입출고기록!$L$7:$L$306,입출고기록!$B$7:$B$306,"판매출고",입출고기록!$A$7:$A$306,A204,입출고기록!$H$7:$H$306,"&lt;&gt;아니오"))</f>
        <v/>
      </c>
      <c r="C204" s="3"/>
      <c r="D204" s="3"/>
      <c r="E204" s="6"/>
      <c r="F204" s="3"/>
    </row>
    <row r="205" spans="1:6">
      <c r="A205" s="28" t="str">
        <f>IF(A204="","",IF(A204+1&gt;상품·기준!$C$15,"",A204+1))</f>
        <v/>
      </c>
      <c r="B205" s="13" t="str">
        <f>IF(A205="","",SUMIFS(입출고기록!$L$7:$L$306,입출고기록!$B$7:$B$306,"판매출고",입출고기록!$A$7:$A$306,A205,입출고기록!$H$7:$H$306,"&lt;&gt;아니오"))</f>
        <v/>
      </c>
      <c r="C205" s="3"/>
      <c r="D205" s="3"/>
      <c r="E205" s="6"/>
      <c r="F205" s="3"/>
    </row>
    <row r="206" spans="1:6">
      <c r="A206" s="28" t="str">
        <f>IF(A205="","",IF(A205+1&gt;상품·기준!$C$15,"",A205+1))</f>
        <v/>
      </c>
      <c r="B206" s="13" t="str">
        <f>IF(A206="","",SUMIFS(입출고기록!$L$7:$L$306,입출고기록!$B$7:$B$306,"판매출고",입출고기록!$A$7:$A$306,A206,입출고기록!$H$7:$H$306,"&lt;&gt;아니오"))</f>
        <v/>
      </c>
      <c r="C206" s="3"/>
      <c r="D206" s="3"/>
      <c r="E206" s="6"/>
      <c r="F206" s="3"/>
    </row>
    <row r="207" spans="1:6">
      <c r="A207" s="28" t="str">
        <f>IF(A206="","",IF(A206+1&gt;상품·기준!$C$15,"",A206+1))</f>
        <v/>
      </c>
      <c r="B207" s="13" t="str">
        <f>IF(A207="","",SUMIFS(입출고기록!$L$7:$L$306,입출고기록!$B$7:$B$306,"판매출고",입출고기록!$A$7:$A$306,A207,입출고기록!$H$7:$H$306,"&lt;&gt;아니오"))</f>
        <v/>
      </c>
      <c r="C207" s="3"/>
      <c r="D207" s="3"/>
      <c r="E207" s="6"/>
      <c r="F207" s="3"/>
    </row>
    <row r="208" spans="1:6">
      <c r="A208" s="28" t="str">
        <f>IF(A207="","",IF(A207+1&gt;상품·기준!$C$15,"",A207+1))</f>
        <v/>
      </c>
      <c r="B208" s="13" t="str">
        <f>IF(A208="","",SUMIFS(입출고기록!$L$7:$L$306,입출고기록!$B$7:$B$306,"판매출고",입출고기록!$A$7:$A$306,A208,입출고기록!$H$7:$H$306,"&lt;&gt;아니오"))</f>
        <v/>
      </c>
      <c r="C208" s="3"/>
      <c r="D208" s="3"/>
      <c r="E208" s="6"/>
      <c r="F208" s="3"/>
    </row>
    <row r="209" spans="1:6">
      <c r="A209" s="28" t="str">
        <f>IF(A208="","",IF(A208+1&gt;상품·기준!$C$15,"",A208+1))</f>
        <v/>
      </c>
      <c r="B209" s="13" t="str">
        <f>IF(A209="","",SUMIFS(입출고기록!$L$7:$L$306,입출고기록!$B$7:$B$306,"판매출고",입출고기록!$A$7:$A$306,A209,입출고기록!$H$7:$H$306,"&lt;&gt;아니오"))</f>
        <v/>
      </c>
      <c r="C209" s="3"/>
      <c r="D209" s="3"/>
      <c r="E209" s="6"/>
      <c r="F209" s="3"/>
    </row>
    <row r="210" spans="1:6">
      <c r="A210" s="28" t="str">
        <f>IF(A209="","",IF(A209+1&gt;상품·기준!$C$15,"",A209+1))</f>
        <v/>
      </c>
      <c r="B210" s="13" t="str">
        <f>IF(A210="","",SUMIFS(입출고기록!$L$7:$L$306,입출고기록!$B$7:$B$306,"판매출고",입출고기록!$A$7:$A$306,A210,입출고기록!$H$7:$H$306,"&lt;&gt;아니오"))</f>
        <v/>
      </c>
      <c r="C210" s="3"/>
      <c r="D210" s="3"/>
      <c r="E210" s="6"/>
      <c r="F210" s="3"/>
    </row>
    <row r="211" spans="1:6">
      <c r="A211" s="28" t="str">
        <f>IF(A210="","",IF(A210+1&gt;상품·기준!$C$15,"",A210+1))</f>
        <v/>
      </c>
      <c r="B211" s="13" t="str">
        <f>IF(A211="","",SUMIFS(입출고기록!$L$7:$L$306,입출고기록!$B$7:$B$306,"판매출고",입출고기록!$A$7:$A$306,A211,입출고기록!$H$7:$H$306,"&lt;&gt;아니오"))</f>
        <v/>
      </c>
      <c r="C211" s="3"/>
      <c r="D211" s="3"/>
      <c r="E211" s="6"/>
      <c r="F211" s="3"/>
    </row>
    <row r="212" spans="1:6">
      <c r="A212" s="28" t="str">
        <f>IF(A211="","",IF(A211+1&gt;상품·기준!$C$15,"",A211+1))</f>
        <v/>
      </c>
      <c r="B212" s="13" t="str">
        <f>IF(A212="","",SUMIFS(입출고기록!$L$7:$L$306,입출고기록!$B$7:$B$306,"판매출고",입출고기록!$A$7:$A$306,A212,입출고기록!$H$7:$H$306,"&lt;&gt;아니오"))</f>
        <v/>
      </c>
      <c r="C212" s="3"/>
      <c r="D212" s="3"/>
      <c r="E212" s="6"/>
      <c r="F212" s="3"/>
    </row>
    <row r="213" spans="1:6">
      <c r="A213" s="28" t="str">
        <f>IF(A212="","",IF(A212+1&gt;상품·기준!$C$15,"",A212+1))</f>
        <v/>
      </c>
      <c r="B213" s="13" t="str">
        <f>IF(A213="","",SUMIFS(입출고기록!$L$7:$L$306,입출고기록!$B$7:$B$306,"판매출고",입출고기록!$A$7:$A$306,A213,입출고기록!$H$7:$H$306,"&lt;&gt;아니오"))</f>
        <v/>
      </c>
      <c r="C213" s="3"/>
      <c r="D213" s="3"/>
      <c r="E213" s="6"/>
      <c r="F213" s="3"/>
    </row>
    <row r="214" spans="1:6">
      <c r="A214" s="28" t="str">
        <f>IF(A213="","",IF(A213+1&gt;상품·기준!$C$15,"",A213+1))</f>
        <v/>
      </c>
      <c r="B214" s="13" t="str">
        <f>IF(A214="","",SUMIFS(입출고기록!$L$7:$L$306,입출고기록!$B$7:$B$306,"판매출고",입출고기록!$A$7:$A$306,A214,입출고기록!$H$7:$H$306,"&lt;&gt;아니오"))</f>
        <v/>
      </c>
      <c r="C214" s="3"/>
      <c r="D214" s="3"/>
      <c r="E214" s="6"/>
      <c r="F214" s="3"/>
    </row>
    <row r="215" spans="1:6">
      <c r="A215" s="28" t="str">
        <f>IF(A214="","",IF(A214+1&gt;상품·기준!$C$15,"",A214+1))</f>
        <v/>
      </c>
      <c r="B215" s="13" t="str">
        <f>IF(A215="","",SUMIFS(입출고기록!$L$7:$L$306,입출고기록!$B$7:$B$306,"판매출고",입출고기록!$A$7:$A$306,A215,입출고기록!$H$7:$H$306,"&lt;&gt;아니오"))</f>
        <v/>
      </c>
      <c r="C215" s="3"/>
      <c r="D215" s="3"/>
      <c r="E215" s="6"/>
      <c r="F215" s="3"/>
    </row>
    <row r="216" spans="1:6">
      <c r="A216" s="28" t="str">
        <f>IF(A215="","",IF(A215+1&gt;상품·기준!$C$15,"",A215+1))</f>
        <v/>
      </c>
      <c r="B216" s="13" t="str">
        <f>IF(A216="","",SUMIFS(입출고기록!$L$7:$L$306,입출고기록!$B$7:$B$306,"판매출고",입출고기록!$A$7:$A$306,A216,입출고기록!$H$7:$H$306,"&lt;&gt;아니오"))</f>
        <v/>
      </c>
      <c r="C216" s="3"/>
      <c r="D216" s="3"/>
      <c r="E216" s="6"/>
      <c r="F216" s="3"/>
    </row>
    <row r="217" spans="1:6">
      <c r="A217" s="28" t="str">
        <f>IF(A216="","",IF(A216+1&gt;상품·기준!$C$15,"",A216+1))</f>
        <v/>
      </c>
      <c r="B217" s="13" t="str">
        <f>IF(A217="","",SUMIFS(입출고기록!$L$7:$L$306,입출고기록!$B$7:$B$306,"판매출고",입출고기록!$A$7:$A$306,A217,입출고기록!$H$7:$H$306,"&lt;&gt;아니오"))</f>
        <v/>
      </c>
      <c r="C217" s="3"/>
      <c r="D217" s="3"/>
      <c r="E217" s="6"/>
      <c r="F217" s="3"/>
    </row>
    <row r="218" spans="1:6">
      <c r="A218" s="28" t="str">
        <f>IF(A217="","",IF(A217+1&gt;상품·기준!$C$15,"",A217+1))</f>
        <v/>
      </c>
      <c r="B218" s="13" t="str">
        <f>IF(A218="","",SUMIFS(입출고기록!$L$7:$L$306,입출고기록!$B$7:$B$306,"판매출고",입출고기록!$A$7:$A$306,A218,입출고기록!$H$7:$H$306,"&lt;&gt;아니오"))</f>
        <v/>
      </c>
      <c r="C218" s="3"/>
      <c r="D218" s="3"/>
      <c r="E218" s="6"/>
      <c r="F218" s="3"/>
    </row>
    <row r="219" spans="1:6">
      <c r="A219" s="28" t="str">
        <f>IF(A218="","",IF(A218+1&gt;상품·기준!$C$15,"",A218+1))</f>
        <v/>
      </c>
      <c r="B219" s="13" t="str">
        <f>IF(A219="","",SUMIFS(입출고기록!$L$7:$L$306,입출고기록!$B$7:$B$306,"판매출고",입출고기록!$A$7:$A$306,A219,입출고기록!$H$7:$H$306,"&lt;&gt;아니오"))</f>
        <v/>
      </c>
      <c r="C219" s="3"/>
      <c r="D219" s="3"/>
      <c r="E219" s="6"/>
      <c r="F219" s="3"/>
    </row>
    <row r="220" spans="1:6">
      <c r="A220" s="28" t="str">
        <f>IF(A219="","",IF(A219+1&gt;상품·기준!$C$15,"",A219+1))</f>
        <v/>
      </c>
      <c r="B220" s="13" t="str">
        <f>IF(A220="","",SUMIFS(입출고기록!$L$7:$L$306,입출고기록!$B$7:$B$306,"판매출고",입출고기록!$A$7:$A$306,A220,입출고기록!$H$7:$H$306,"&lt;&gt;아니오"))</f>
        <v/>
      </c>
      <c r="C220" s="3"/>
      <c r="D220" s="3"/>
      <c r="E220" s="6"/>
      <c r="F220" s="3"/>
    </row>
  </sheetData>
  <mergeCells count="10">
    <mergeCell ref="A1:L1"/>
    <mergeCell ref="G13:L13"/>
    <mergeCell ref="A18:L18"/>
    <mergeCell ref="G12:L12"/>
    <mergeCell ref="A4:L4"/>
    <mergeCell ref="G15:L15"/>
    <mergeCell ref="A2:L2"/>
    <mergeCell ref="G16:L16"/>
    <mergeCell ref="A11:L11"/>
    <mergeCell ref="G14:L14"/>
  </mergeCells>
  <phoneticPr fontId="11" type="noConversion"/>
  <conditionalFormatting sqref="L6:L9">
    <cfRule type="expression" dxfId="7" priority="1">
      <formula>LEFT(L6,2)="정상"</formula>
    </cfRule>
    <cfRule type="expression" dxfId="6" priority="2">
      <formula>AND(LEN(L6)&gt;0,LEFT(L6,2)&lt;&gt;"정상")</formula>
    </cfRule>
  </conditionalFormatting>
  <dataValidations count="3">
    <dataValidation type="list" allowBlank="1" showInputMessage="1" showErrorMessage="1" errorTitle="목록에서 선택" error="목록에 있는 값을 선택하세요." prompt="포함: 행사일도 센다 / 제외: 행사일을 빼고 센다 / 행사일만: 행사 기간만 센다" sqref="D6:D9" xr:uid="{00000000-0002-0000-0400-000000000000}">
      <formula1>"포함,제외,행사일만"</formula1>
    </dataValidation>
    <dataValidation type="list" allowBlank="1" showInputMessage="1" showErrorMessage="1" errorTitle="목록에서 선택" error="목록에 있는 값을 선택하세요." prompt="비워 두면 정상. 아침 재고가 0이라 못 판 날은 품절, 내가 팔지 않은 날은 판매중단" sqref="C21:C220" xr:uid="{00000000-0002-0000-0400-000001000000}">
      <formula1>"정상,품절,판매중단"</formula1>
    </dataValidation>
    <dataValidation type="list" allowBlank="1" showErrorMessage="1" errorTitle="목록에서 선택" error="목록에 있는 값을 선택하세요." sqref="D21:D220" xr:uid="{00000000-0002-0000-0400-000002000000}">
      <formula1>"행사"</formula1>
    </dataValidation>
  </dataValidations>
  <pageMargins left="0.75" right="0.75" top="1" bottom="1" header="0.5" footer="0.5"/>
  <pageSetup paperSize="9"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52"/>
  <sheetViews>
    <sheetView workbookViewId="0">
      <pane ySplit="3" topLeftCell="A4" activePane="bottomLeft" state="frozen"/>
      <selection pane="bottomLeft"/>
    </sheetView>
  </sheetViews>
  <sheetFormatPr baseColWidth="10" defaultColWidth="8.83203125" defaultRowHeight="17"/>
  <cols>
    <col min="1" max="1" width="22" customWidth="1"/>
    <col min="2" max="2" width="16" customWidth="1"/>
    <col min="3" max="3" width="13" customWidth="1"/>
    <col min="4" max="4" width="12" customWidth="1"/>
    <col min="5" max="7" width="13" customWidth="1"/>
    <col min="8" max="9" width="11" customWidth="1"/>
    <col min="10" max="10" width="26" customWidth="1"/>
    <col min="11" max="11" width="10" customWidth="1"/>
    <col min="12" max="12" width="32" customWidth="1"/>
    <col min="13" max="13" width="10" customWidth="1"/>
    <col min="14" max="17" width="14" customWidth="1"/>
  </cols>
  <sheetData>
    <row r="1" spans="1:17" ht="20">
      <c r="A1" s="42" t="s">
        <v>269</v>
      </c>
      <c r="B1" s="40"/>
      <c r="C1" s="40"/>
      <c r="D1" s="40"/>
      <c r="E1" s="40"/>
      <c r="F1" s="40"/>
      <c r="G1" s="40"/>
      <c r="H1" s="40"/>
      <c r="I1" s="40"/>
      <c r="J1" s="40"/>
      <c r="K1" s="40"/>
      <c r="L1" s="40"/>
      <c r="M1" s="40"/>
      <c r="N1" s="40"/>
      <c r="O1" s="40"/>
      <c r="P1" s="40"/>
      <c r="Q1" s="40"/>
    </row>
    <row r="2" spans="1:17" ht="48" customHeight="1">
      <c r="A2" s="39" t="s">
        <v>270</v>
      </c>
      <c r="B2" s="40"/>
      <c r="C2" s="40"/>
      <c r="D2" s="40"/>
      <c r="E2" s="40"/>
      <c r="F2" s="40"/>
      <c r="G2" s="40"/>
      <c r="H2" s="40"/>
      <c r="I2" s="40"/>
      <c r="J2" s="40"/>
      <c r="K2" s="40"/>
      <c r="L2" s="40"/>
      <c r="M2" s="40"/>
      <c r="N2" s="40"/>
      <c r="O2" s="40"/>
      <c r="P2" s="40"/>
      <c r="Q2" s="40"/>
    </row>
    <row r="4" spans="1:17">
      <c r="A4" s="41" t="s">
        <v>271</v>
      </c>
      <c r="B4" s="40"/>
      <c r="C4" s="40"/>
      <c r="D4" s="40"/>
      <c r="E4" s="40"/>
      <c r="F4" s="40"/>
      <c r="G4" s="40"/>
      <c r="H4" s="40"/>
      <c r="I4" s="40"/>
      <c r="J4" s="40"/>
      <c r="K4" s="40"/>
      <c r="L4" s="40"/>
      <c r="M4" s="40"/>
      <c r="N4" s="40"/>
      <c r="O4" s="40"/>
      <c r="P4" s="40"/>
      <c r="Q4" s="40"/>
    </row>
    <row r="5" spans="1:17">
      <c r="A5" s="5" t="s">
        <v>13</v>
      </c>
      <c r="B5" s="5" t="s">
        <v>13</v>
      </c>
      <c r="C5" s="5" t="s">
        <v>13</v>
      </c>
      <c r="D5" s="5" t="s">
        <v>13</v>
      </c>
      <c r="E5" s="5" t="s">
        <v>13</v>
      </c>
      <c r="F5" s="5" t="s">
        <v>13</v>
      </c>
      <c r="G5" s="5" t="s">
        <v>13</v>
      </c>
      <c r="H5" s="5" t="s">
        <v>13</v>
      </c>
      <c r="I5" s="5" t="s">
        <v>13</v>
      </c>
      <c r="J5" s="5" t="s">
        <v>13</v>
      </c>
      <c r="K5" s="10" t="s">
        <v>15</v>
      </c>
      <c r="L5" s="10" t="s">
        <v>15</v>
      </c>
      <c r="M5" s="10" t="s">
        <v>15</v>
      </c>
      <c r="N5" s="10" t="s">
        <v>15</v>
      </c>
      <c r="O5" s="10" t="s">
        <v>15</v>
      </c>
      <c r="P5" s="10" t="s">
        <v>15</v>
      </c>
      <c r="Q5" s="10" t="s">
        <v>15</v>
      </c>
    </row>
    <row r="6" spans="1:17" ht="32">
      <c r="A6" s="9" t="s">
        <v>272</v>
      </c>
      <c r="B6" s="9" t="s">
        <v>273</v>
      </c>
      <c r="C6" s="9" t="s">
        <v>274</v>
      </c>
      <c r="D6" s="9" t="s">
        <v>275</v>
      </c>
      <c r="E6" s="9" t="s">
        <v>276</v>
      </c>
      <c r="F6" s="9" t="s">
        <v>277</v>
      </c>
      <c r="G6" s="9" t="s">
        <v>278</v>
      </c>
      <c r="H6" s="9" t="s">
        <v>279</v>
      </c>
      <c r="I6" s="9" t="s">
        <v>280</v>
      </c>
      <c r="J6" s="9" t="s">
        <v>135</v>
      </c>
      <c r="K6" s="9" t="s">
        <v>281</v>
      </c>
      <c r="L6" s="9" t="s">
        <v>118</v>
      </c>
      <c r="M6" s="9" t="s">
        <v>282</v>
      </c>
      <c r="N6" s="9" t="s">
        <v>283</v>
      </c>
      <c r="O6" s="9" t="s">
        <v>284</v>
      </c>
      <c r="P6" s="9" t="s">
        <v>285</v>
      </c>
      <c r="Q6" s="9" t="s">
        <v>286</v>
      </c>
    </row>
    <row r="7" spans="1:17">
      <c r="A7" s="3"/>
      <c r="B7" s="7"/>
      <c r="C7" s="6"/>
      <c r="D7" s="6"/>
      <c r="E7" s="7"/>
      <c r="F7" s="7"/>
      <c r="G7" s="7"/>
      <c r="H7" s="6"/>
      <c r="I7" s="6"/>
      <c r="J7" s="3"/>
      <c r="K7" s="13" t="str">
        <f t="shared" ref="K7:K16" si="0">IF(AND(ISNUMBER(B7),ISNUMBER(G7)),IF(G7&gt;=B7,G7-B7,""),"")</f>
        <v/>
      </c>
      <c r="L7" s="4" t="str">
        <f t="shared" ref="L7:L16" si="1">IF(A7="","",IF(NOT(ISNUMBER(B7)),"발주일 미입력",IF(AND(ISNUMBER(G7),G7&lt;B7),"날짜 역전(판매 가능일이 발주일보다 앞)",IF(AND(ISNUMBER(F7),F7&lt;B7),"날짜 역전(입고일이 발주일보다 앞)",IF(AND(ISNUMBER(E7),E7&lt;B7),"날짜 역전(출하일이 발주일보다 앞)",IF(NOT(ISNUMBER(G7)),IF(AND(ISNUMBER(H7),H7&gt;0),"부분 입고",IF(ISNUMBER(F7),"입고됨·판매 가능일 미입력","미입고")),IF(NOT(ISNUMBER(H7)),"입고 수량 미입력",IF(AND(ISNUMBER(D7),H7&lt;D7),"부분 입고","입고 완료"))))))))</f>
        <v/>
      </c>
      <c r="M7" s="13" t="str">
        <f t="shared" ref="M7:M16" si="2">IF(A7="","",IF(ISNUMBER(D7),MAX(0,D7-IF(ISNUMBER(H7),H7,0)),"미입력"))</f>
        <v/>
      </c>
      <c r="N7" s="13" t="str">
        <f t="shared" ref="N7:N16" si="3">IF(A7="","",IF(OR(L7="미입고",L7="부분 입고"),IF(AND(ISNUMBER(C7),ISNUMBER(D7),D7&gt;0,ISNUMBER(M7)),C7*M7/D7,"미확인"),0))</f>
        <v/>
      </c>
      <c r="O7" s="28" t="str">
        <f t="shared" ref="O7:O16" si="4">IF(OR(L7="미입고",L7="부분 입고"),IF(AND(ISNUMBER(B7),ISNUMBER($C$21)),B7+$C$21,"미확인"),"")</f>
        <v/>
      </c>
      <c r="P7" s="28" t="str">
        <f t="shared" ref="P7:P16" si="5">IF(OR(L7="미입고",L7="부분 입고"),IF(AND(ISNUMBER(B7),ISNUMBER($C$22)),B7+$C$22,"미확인"),"")</f>
        <v/>
      </c>
      <c r="Q7" s="28" t="str">
        <f>IF(ISNUMBER(P7),P7+상품·기준!$C$29,"")</f>
        <v/>
      </c>
    </row>
    <row r="8" spans="1:17">
      <c r="A8" s="3"/>
      <c r="B8" s="7"/>
      <c r="C8" s="6"/>
      <c r="D8" s="6"/>
      <c r="E8" s="7"/>
      <c r="F8" s="7"/>
      <c r="G8" s="7"/>
      <c r="H8" s="6"/>
      <c r="I8" s="6"/>
      <c r="J8" s="3"/>
      <c r="K8" s="13" t="str">
        <f t="shared" si="0"/>
        <v/>
      </c>
      <c r="L8" s="4" t="str">
        <f t="shared" si="1"/>
        <v/>
      </c>
      <c r="M8" s="13" t="str">
        <f t="shared" si="2"/>
        <v/>
      </c>
      <c r="N8" s="13" t="str">
        <f t="shared" si="3"/>
        <v/>
      </c>
      <c r="O8" s="28" t="str">
        <f t="shared" si="4"/>
        <v/>
      </c>
      <c r="P8" s="28" t="str">
        <f t="shared" si="5"/>
        <v/>
      </c>
      <c r="Q8" s="28" t="str">
        <f>IF(ISNUMBER(P8),P8+상품·기준!$C$29,"")</f>
        <v/>
      </c>
    </row>
    <row r="9" spans="1:17">
      <c r="A9" s="3"/>
      <c r="B9" s="7"/>
      <c r="C9" s="6"/>
      <c r="D9" s="6"/>
      <c r="E9" s="7"/>
      <c r="F9" s="7"/>
      <c r="G9" s="7"/>
      <c r="H9" s="6"/>
      <c r="I9" s="6"/>
      <c r="J9" s="3"/>
      <c r="K9" s="13" t="str">
        <f t="shared" si="0"/>
        <v/>
      </c>
      <c r="L9" s="4" t="str">
        <f t="shared" si="1"/>
        <v/>
      </c>
      <c r="M9" s="13" t="str">
        <f t="shared" si="2"/>
        <v/>
      </c>
      <c r="N9" s="13" t="str">
        <f t="shared" si="3"/>
        <v/>
      </c>
      <c r="O9" s="28" t="str">
        <f t="shared" si="4"/>
        <v/>
      </c>
      <c r="P9" s="28" t="str">
        <f t="shared" si="5"/>
        <v/>
      </c>
      <c r="Q9" s="28" t="str">
        <f>IF(ISNUMBER(P9),P9+상품·기준!$C$29,"")</f>
        <v/>
      </c>
    </row>
    <row r="10" spans="1:17">
      <c r="A10" s="3"/>
      <c r="B10" s="7"/>
      <c r="C10" s="6"/>
      <c r="D10" s="6"/>
      <c r="E10" s="7"/>
      <c r="F10" s="7"/>
      <c r="G10" s="7"/>
      <c r="H10" s="6"/>
      <c r="I10" s="6"/>
      <c r="J10" s="3"/>
      <c r="K10" s="13" t="str">
        <f t="shared" si="0"/>
        <v/>
      </c>
      <c r="L10" s="4" t="str">
        <f t="shared" si="1"/>
        <v/>
      </c>
      <c r="M10" s="13" t="str">
        <f t="shared" si="2"/>
        <v/>
      </c>
      <c r="N10" s="13" t="str">
        <f t="shared" si="3"/>
        <v/>
      </c>
      <c r="O10" s="28" t="str">
        <f t="shared" si="4"/>
        <v/>
      </c>
      <c r="P10" s="28" t="str">
        <f t="shared" si="5"/>
        <v/>
      </c>
      <c r="Q10" s="28" t="str">
        <f>IF(ISNUMBER(P10),P10+상품·기준!$C$29,"")</f>
        <v/>
      </c>
    </row>
    <row r="11" spans="1:17">
      <c r="A11" s="3"/>
      <c r="B11" s="7"/>
      <c r="C11" s="6"/>
      <c r="D11" s="6"/>
      <c r="E11" s="7"/>
      <c r="F11" s="7"/>
      <c r="G11" s="7"/>
      <c r="H11" s="6"/>
      <c r="I11" s="6"/>
      <c r="J11" s="3"/>
      <c r="K11" s="13" t="str">
        <f t="shared" si="0"/>
        <v/>
      </c>
      <c r="L11" s="4" t="str">
        <f t="shared" si="1"/>
        <v/>
      </c>
      <c r="M11" s="13" t="str">
        <f t="shared" si="2"/>
        <v/>
      </c>
      <c r="N11" s="13" t="str">
        <f t="shared" si="3"/>
        <v/>
      </c>
      <c r="O11" s="28" t="str">
        <f t="shared" si="4"/>
        <v/>
      </c>
      <c r="P11" s="28" t="str">
        <f t="shared" si="5"/>
        <v/>
      </c>
      <c r="Q11" s="28" t="str">
        <f>IF(ISNUMBER(P11),P11+상품·기준!$C$29,"")</f>
        <v/>
      </c>
    </row>
    <row r="12" spans="1:17">
      <c r="A12" s="3"/>
      <c r="B12" s="7"/>
      <c r="C12" s="6"/>
      <c r="D12" s="6"/>
      <c r="E12" s="7"/>
      <c r="F12" s="7"/>
      <c r="G12" s="7"/>
      <c r="H12" s="6"/>
      <c r="I12" s="6"/>
      <c r="J12" s="3"/>
      <c r="K12" s="13" t="str">
        <f t="shared" si="0"/>
        <v/>
      </c>
      <c r="L12" s="4" t="str">
        <f t="shared" si="1"/>
        <v/>
      </c>
      <c r="M12" s="13" t="str">
        <f t="shared" si="2"/>
        <v/>
      </c>
      <c r="N12" s="13" t="str">
        <f t="shared" si="3"/>
        <v/>
      </c>
      <c r="O12" s="28" t="str">
        <f t="shared" si="4"/>
        <v/>
      </c>
      <c r="P12" s="28" t="str">
        <f t="shared" si="5"/>
        <v/>
      </c>
      <c r="Q12" s="28" t="str">
        <f>IF(ISNUMBER(P12),P12+상품·기준!$C$29,"")</f>
        <v/>
      </c>
    </row>
    <row r="13" spans="1:17">
      <c r="A13" s="3"/>
      <c r="B13" s="7"/>
      <c r="C13" s="6"/>
      <c r="D13" s="6"/>
      <c r="E13" s="7"/>
      <c r="F13" s="7"/>
      <c r="G13" s="7"/>
      <c r="H13" s="6"/>
      <c r="I13" s="6"/>
      <c r="J13" s="3"/>
      <c r="K13" s="13" t="str">
        <f t="shared" si="0"/>
        <v/>
      </c>
      <c r="L13" s="4" t="str">
        <f t="shared" si="1"/>
        <v/>
      </c>
      <c r="M13" s="13" t="str">
        <f t="shared" si="2"/>
        <v/>
      </c>
      <c r="N13" s="13" t="str">
        <f t="shared" si="3"/>
        <v/>
      </c>
      <c r="O13" s="28" t="str">
        <f t="shared" si="4"/>
        <v/>
      </c>
      <c r="P13" s="28" t="str">
        <f t="shared" si="5"/>
        <v/>
      </c>
      <c r="Q13" s="28" t="str">
        <f>IF(ISNUMBER(P13),P13+상품·기준!$C$29,"")</f>
        <v/>
      </c>
    </row>
    <row r="14" spans="1:17">
      <c r="A14" s="3"/>
      <c r="B14" s="7"/>
      <c r="C14" s="6"/>
      <c r="D14" s="6"/>
      <c r="E14" s="7"/>
      <c r="F14" s="7"/>
      <c r="G14" s="7"/>
      <c r="H14" s="6"/>
      <c r="I14" s="6"/>
      <c r="J14" s="3"/>
      <c r="K14" s="13" t="str">
        <f t="shared" si="0"/>
        <v/>
      </c>
      <c r="L14" s="4" t="str">
        <f t="shared" si="1"/>
        <v/>
      </c>
      <c r="M14" s="13" t="str">
        <f t="shared" si="2"/>
        <v/>
      </c>
      <c r="N14" s="13" t="str">
        <f t="shared" si="3"/>
        <v/>
      </c>
      <c r="O14" s="28" t="str">
        <f t="shared" si="4"/>
        <v/>
      </c>
      <c r="P14" s="28" t="str">
        <f t="shared" si="5"/>
        <v/>
      </c>
      <c r="Q14" s="28" t="str">
        <f>IF(ISNUMBER(P14),P14+상품·기준!$C$29,"")</f>
        <v/>
      </c>
    </row>
    <row r="15" spans="1:17">
      <c r="A15" s="3"/>
      <c r="B15" s="7"/>
      <c r="C15" s="6"/>
      <c r="D15" s="6"/>
      <c r="E15" s="7"/>
      <c r="F15" s="7"/>
      <c r="G15" s="7"/>
      <c r="H15" s="6"/>
      <c r="I15" s="6"/>
      <c r="J15" s="3"/>
      <c r="K15" s="13" t="str">
        <f t="shared" si="0"/>
        <v/>
      </c>
      <c r="L15" s="4" t="str">
        <f t="shared" si="1"/>
        <v/>
      </c>
      <c r="M15" s="13" t="str">
        <f t="shared" si="2"/>
        <v/>
      </c>
      <c r="N15" s="13" t="str">
        <f t="shared" si="3"/>
        <v/>
      </c>
      <c r="O15" s="28" t="str">
        <f t="shared" si="4"/>
        <v/>
      </c>
      <c r="P15" s="28" t="str">
        <f t="shared" si="5"/>
        <v/>
      </c>
      <c r="Q15" s="28" t="str">
        <f>IF(ISNUMBER(P15),P15+상품·기준!$C$29,"")</f>
        <v/>
      </c>
    </row>
    <row r="16" spans="1:17">
      <c r="A16" s="3"/>
      <c r="B16" s="7"/>
      <c r="C16" s="6"/>
      <c r="D16" s="6"/>
      <c r="E16" s="7"/>
      <c r="F16" s="7"/>
      <c r="G16" s="7"/>
      <c r="H16" s="6"/>
      <c r="I16" s="6"/>
      <c r="J16" s="3"/>
      <c r="K16" s="13" t="str">
        <f t="shared" si="0"/>
        <v/>
      </c>
      <c r="L16" s="4" t="str">
        <f t="shared" si="1"/>
        <v/>
      </c>
      <c r="M16" s="13" t="str">
        <f t="shared" si="2"/>
        <v/>
      </c>
      <c r="N16" s="13" t="str">
        <f t="shared" si="3"/>
        <v/>
      </c>
      <c r="O16" s="28" t="str">
        <f t="shared" si="4"/>
        <v/>
      </c>
      <c r="P16" s="28" t="str">
        <f t="shared" si="5"/>
        <v/>
      </c>
      <c r="Q16" s="28" t="str">
        <f>IF(ISNUMBER(P16),P16+상품·기준!$C$29,"")</f>
        <v/>
      </c>
    </row>
    <row r="19" spans="1:17">
      <c r="A19" s="41" t="s">
        <v>287</v>
      </c>
      <c r="B19" s="40"/>
      <c r="C19" s="40"/>
      <c r="D19" s="40"/>
      <c r="E19" s="40"/>
      <c r="F19" s="40"/>
      <c r="G19" s="40"/>
      <c r="H19" s="40"/>
      <c r="I19" s="40"/>
      <c r="J19" s="40"/>
      <c r="K19" s="40"/>
      <c r="L19" s="40"/>
      <c r="M19" s="40"/>
      <c r="N19" s="40"/>
      <c r="O19" s="40"/>
      <c r="P19" s="40"/>
      <c r="Q19" s="40"/>
    </row>
    <row r="20" spans="1:17">
      <c r="A20" s="46" t="s">
        <v>288</v>
      </c>
      <c r="B20" s="37"/>
      <c r="C20" s="18">
        <f>COUNT(K7:K16)</f>
        <v>0</v>
      </c>
      <c r="D20" s="44" t="str">
        <f>IF(C20=0,"리드타임 표본 없음: 도착 예정은 미확인",IF(C20&lt;3,"표본 "&amp;C20&amp;"건: 범위로 읽고 평균 하나로 말하지 않기","표본 "&amp;C20&amp;"건"))</f>
        <v>리드타임 표본 없음: 도착 예정은 미확인</v>
      </c>
      <c r="E20" s="38"/>
      <c r="F20" s="38"/>
      <c r="G20" s="38"/>
      <c r="H20" s="37"/>
    </row>
    <row r="21" spans="1:17">
      <c r="A21" s="46" t="s">
        <v>289</v>
      </c>
      <c r="B21" s="37"/>
      <c r="C21" s="18" t="str">
        <f>IF(C20=0,"미확인",MIN(K7:K16))</f>
        <v>미확인</v>
      </c>
    </row>
    <row r="22" spans="1:17">
      <c r="A22" s="46" t="s">
        <v>290</v>
      </c>
      <c r="B22" s="37"/>
      <c r="C22" s="18" t="str">
        <f>IF(C20=0,"미확인",MAX(K7:K16))</f>
        <v>미확인</v>
      </c>
    </row>
    <row r="23" spans="1:17">
      <c r="A23" s="46" t="s">
        <v>291</v>
      </c>
      <c r="B23" s="37"/>
      <c r="C23" s="29" t="str">
        <f>IF(C20=0,"미확인",AVERAGE(K7:K16))</f>
        <v>미확인</v>
      </c>
    </row>
    <row r="26" spans="1:17">
      <c r="A26" s="41" t="s">
        <v>292</v>
      </c>
      <c r="B26" s="40"/>
      <c r="C26" s="40"/>
      <c r="D26" s="40"/>
      <c r="E26" s="40"/>
      <c r="F26" s="40"/>
      <c r="G26" s="40"/>
      <c r="H26" s="40"/>
      <c r="I26" s="40"/>
      <c r="J26" s="40"/>
      <c r="K26" s="40"/>
      <c r="L26" s="40"/>
      <c r="M26" s="40"/>
      <c r="N26" s="40"/>
      <c r="O26" s="40"/>
      <c r="P26" s="40"/>
      <c r="Q26" s="40"/>
    </row>
    <row r="27" spans="1:17">
      <c r="A27" s="46" t="s">
        <v>293</v>
      </c>
      <c r="B27" s="37"/>
      <c r="C27" s="18">
        <f>SUM(N7:N16)</f>
        <v>0</v>
      </c>
    </row>
    <row r="28" spans="1:17">
      <c r="A28" s="46" t="s">
        <v>294</v>
      </c>
      <c r="B28" s="37"/>
      <c r="C28" s="18">
        <f>SUMIFS(M7:M16,L7:L16,"미입고")+SUMIFS(M7:M16,L7:L16,"부분 입고")</f>
        <v>0</v>
      </c>
    </row>
    <row r="29" spans="1:17">
      <c r="A29" s="46" t="s">
        <v>295</v>
      </c>
      <c r="B29" s="37"/>
      <c r="C29" s="30" t="str">
        <f>IF(COUNT(O7:O16)&gt;0,MIN(O7:O16),IF(COUNTIF(O7:O16,"미확인")&gt;0,"미확인","미입고 없음"))</f>
        <v>미입고 없음</v>
      </c>
    </row>
    <row r="30" spans="1:17">
      <c r="A30" s="46" t="s">
        <v>296</v>
      </c>
      <c r="B30" s="37"/>
      <c r="C30" s="30" t="str">
        <f>IF(ISNUMBER(C29),INDEX(P7:P16,MATCH(C29,O7:O16,0)),"")</f>
        <v/>
      </c>
    </row>
    <row r="31" spans="1:17">
      <c r="A31" s="46" t="s">
        <v>297</v>
      </c>
      <c r="B31" s="37"/>
      <c r="C31" s="18" t="str">
        <f>IF(상품·기준!$C$29="","미입력",상품·기준!$C$29)</f>
        <v>미입력</v>
      </c>
    </row>
    <row r="32" spans="1:17">
      <c r="A32" s="46" t="s">
        <v>298</v>
      </c>
      <c r="B32" s="37"/>
      <c r="C32" s="30" t="str">
        <f>IF(ISNUMBER(C29),C29+C31,"")</f>
        <v/>
      </c>
    </row>
    <row r="33" spans="1:17">
      <c r="A33" s="46" t="s">
        <v>286</v>
      </c>
      <c r="B33" s="37"/>
      <c r="C33" s="30" t="str">
        <f>IF(ISNUMBER(C30),C30+C31,"")</f>
        <v/>
      </c>
    </row>
    <row r="35" spans="1:17" ht="32">
      <c r="A35" s="9" t="s">
        <v>261</v>
      </c>
      <c r="B35" s="9" t="s">
        <v>258</v>
      </c>
      <c r="C35" s="9" t="s">
        <v>264</v>
      </c>
      <c r="D35" s="9" t="s">
        <v>299</v>
      </c>
      <c r="E35" s="9" t="s">
        <v>300</v>
      </c>
      <c r="F35" s="9" t="s">
        <v>301</v>
      </c>
      <c r="G35" s="9" t="s">
        <v>302</v>
      </c>
    </row>
    <row r="36" spans="1:17">
      <c r="A36" s="4" t="str">
        <f>판매속도!A13</f>
        <v/>
      </c>
      <c r="B36" s="27" t="str">
        <f>판매속도!B13</f>
        <v/>
      </c>
      <c r="C36" s="28" t="str">
        <f>판매속도!F13</f>
        <v/>
      </c>
      <c r="D36" s="13" t="str">
        <f>IF(A36="","",IF(NOT(ISNUMBER(C36)),"계산 불가",IF(NOT(ISNUMBER($C$29)),IF($C$29="미확인","미확인","미입고 없음"),MAX(0,$C$29-C36))))</f>
        <v/>
      </c>
      <c r="E36" s="13" t="str">
        <f>IF(A36="","",IF(NOT(ISNUMBER(C36)),"계산 불가",IF(NOT(ISNUMBER($C$30)),IF($C$29="미확인","미확인","미입고 없음"),MAX(0,$C$30-C36))))</f>
        <v/>
      </c>
      <c r="F36" s="13" t="str">
        <f>IF(A36="","",IF(NOT(ISNUMBER(C36)),"계산 불가",IF(NOT(ISNUMBER($C$32)),IF($C$29="미확인","미확인","미입고 없음"),MAX(0,$C$32-C36))))</f>
        <v/>
      </c>
      <c r="G36" s="13" t="str">
        <f>IF(A36="","",IF(NOT(ISNUMBER(C36)),"계산 불가",IF(NOT(ISNUMBER($C$33)),IF($C$29="미확인","미확인","미입고 없음"),MAX(0,$C$33-C36))))</f>
        <v/>
      </c>
    </row>
    <row r="37" spans="1:17">
      <c r="A37" s="4" t="str">
        <f>판매속도!A14</f>
        <v/>
      </c>
      <c r="B37" s="27" t="str">
        <f>판매속도!B14</f>
        <v/>
      </c>
      <c r="C37" s="28" t="str">
        <f>판매속도!F14</f>
        <v/>
      </c>
      <c r="D37" s="13" t="str">
        <f>IF(A37="","",IF(NOT(ISNUMBER(C37)),"계산 불가",IF(NOT(ISNUMBER($C$29)),IF($C$29="미확인","미확인","미입고 없음"),MAX(0,$C$29-C37))))</f>
        <v/>
      </c>
      <c r="E37" s="13" t="str">
        <f>IF(A37="","",IF(NOT(ISNUMBER(C37)),"계산 불가",IF(NOT(ISNUMBER($C$30)),IF($C$29="미확인","미확인","미입고 없음"),MAX(0,$C$30-C37))))</f>
        <v/>
      </c>
      <c r="F37" s="13" t="str">
        <f>IF(A37="","",IF(NOT(ISNUMBER(C37)),"계산 불가",IF(NOT(ISNUMBER($C$32)),IF($C$29="미확인","미확인","미입고 없음"),MAX(0,$C$32-C37))))</f>
        <v/>
      </c>
      <c r="G37" s="13" t="str">
        <f>IF(A37="","",IF(NOT(ISNUMBER(C37)),"계산 불가",IF(NOT(ISNUMBER($C$33)),IF($C$29="미확인","미확인","미입고 없음"),MAX(0,$C$33-C37))))</f>
        <v/>
      </c>
    </row>
    <row r="38" spans="1:17">
      <c r="A38" s="4" t="str">
        <f>판매속도!A15</f>
        <v/>
      </c>
      <c r="B38" s="27" t="str">
        <f>판매속도!B15</f>
        <v/>
      </c>
      <c r="C38" s="28" t="str">
        <f>판매속도!F15</f>
        <v/>
      </c>
      <c r="D38" s="13" t="str">
        <f>IF(A38="","",IF(NOT(ISNUMBER(C38)),"계산 불가",IF(NOT(ISNUMBER($C$29)),IF($C$29="미확인","미확인","미입고 없음"),MAX(0,$C$29-C38))))</f>
        <v/>
      </c>
      <c r="E38" s="13" t="str">
        <f>IF(A38="","",IF(NOT(ISNUMBER(C38)),"계산 불가",IF(NOT(ISNUMBER($C$30)),IF($C$29="미확인","미확인","미입고 없음"),MAX(0,$C$30-C38))))</f>
        <v/>
      </c>
      <c r="F38" s="13" t="str">
        <f>IF(A38="","",IF(NOT(ISNUMBER(C38)),"계산 불가",IF(NOT(ISNUMBER($C$32)),IF($C$29="미확인","미확인","미입고 없음"),MAX(0,$C$32-C38))))</f>
        <v/>
      </c>
      <c r="G38" s="13" t="str">
        <f>IF(A38="","",IF(NOT(ISNUMBER(C38)),"계산 불가",IF(NOT(ISNUMBER($C$33)),IF($C$29="미확인","미확인","미입고 없음"),MAX(0,$C$33-C38))))</f>
        <v/>
      </c>
    </row>
    <row r="39" spans="1:17">
      <c r="A39" s="4" t="str">
        <f>판매속도!A16</f>
        <v/>
      </c>
      <c r="B39" s="27" t="str">
        <f>판매속도!B16</f>
        <v/>
      </c>
      <c r="C39" s="28" t="str">
        <f>판매속도!F16</f>
        <v/>
      </c>
      <c r="D39" s="13" t="str">
        <f>IF(A39="","",IF(NOT(ISNUMBER(C39)),"계산 불가",IF(NOT(ISNUMBER($C$29)),IF($C$29="미확인","미확인","미입고 없음"),MAX(0,$C$29-C39))))</f>
        <v/>
      </c>
      <c r="E39" s="13" t="str">
        <f>IF(A39="","",IF(NOT(ISNUMBER(C39)),"계산 불가",IF(NOT(ISNUMBER($C$30)),IF($C$29="미확인","미확인","미입고 없음"),MAX(0,$C$30-C39))))</f>
        <v/>
      </c>
      <c r="F39" s="13" t="str">
        <f>IF(A39="","",IF(NOT(ISNUMBER(C39)),"계산 불가",IF(NOT(ISNUMBER($C$32)),IF($C$29="미확인","미확인","미입고 없음"),MAX(0,$C$32-C39))))</f>
        <v/>
      </c>
      <c r="G39" s="13" t="str">
        <f>IF(A39="","",IF(NOT(ISNUMBER(C39)),"계산 불가",IF(NOT(ISNUMBER($C$33)),IF($C$29="미확인","미확인","미입고 없음"),MAX(0,$C$33-C39))))</f>
        <v/>
      </c>
    </row>
    <row r="41" spans="1:17">
      <c r="A41" s="41" t="s">
        <v>303</v>
      </c>
      <c r="B41" s="40"/>
      <c r="C41" s="40"/>
      <c r="D41" s="40"/>
      <c r="E41" s="40"/>
      <c r="F41" s="40"/>
      <c r="G41" s="40"/>
      <c r="H41" s="40"/>
      <c r="I41" s="40"/>
      <c r="J41" s="40"/>
      <c r="K41" s="40"/>
      <c r="L41" s="40"/>
      <c r="M41" s="40"/>
      <c r="N41" s="40"/>
      <c r="O41" s="40"/>
      <c r="P41" s="40"/>
      <c r="Q41" s="40"/>
    </row>
    <row r="42" spans="1:17">
      <c r="A42" s="46" t="s">
        <v>181</v>
      </c>
      <c r="B42" s="37"/>
      <c r="C42" s="18" t="str">
        <f>재고점검!B47</f>
        <v>미입력</v>
      </c>
    </row>
    <row r="43" spans="1:17">
      <c r="A43" s="46" t="s">
        <v>294</v>
      </c>
      <c r="B43" s="37"/>
      <c r="C43" s="18">
        <f>C28</f>
        <v>0</v>
      </c>
    </row>
    <row r="44" spans="1:17">
      <c r="A44" s="46" t="s">
        <v>304</v>
      </c>
      <c r="B44" s="37"/>
      <c r="C44" s="18" t="str">
        <f>IF(AND(ISNUMBER(C42),ISNUMBER(C43)),C42+C43,"계산 불가")</f>
        <v>계산 불가</v>
      </c>
    </row>
    <row r="45" spans="1:17">
      <c r="A45" s="46" t="s">
        <v>305</v>
      </c>
      <c r="B45" s="37"/>
      <c r="C45" s="18" t="str">
        <f>C22</f>
        <v>미확인</v>
      </c>
    </row>
    <row r="46" spans="1:17">
      <c r="A46" s="46" t="s">
        <v>94</v>
      </c>
      <c r="B46" s="37"/>
      <c r="C46" s="18" t="str">
        <f>IF(상품·기준!$C$28="","미입력",상품·기준!$C$28)</f>
        <v>미입력</v>
      </c>
    </row>
    <row r="48" spans="1:17" ht="32">
      <c r="A48" s="9" t="s">
        <v>261</v>
      </c>
      <c r="B48" s="9" t="s">
        <v>258</v>
      </c>
      <c r="C48" s="9" t="s">
        <v>306</v>
      </c>
      <c r="D48" s="9" t="s">
        <v>264</v>
      </c>
      <c r="E48" s="9" t="s">
        <v>307</v>
      </c>
    </row>
    <row r="49" spans="1:5">
      <c r="A49" s="4" t="str">
        <f>판매속도!A13</f>
        <v/>
      </c>
      <c r="B49" s="27" t="str">
        <f>판매속도!B13</f>
        <v/>
      </c>
      <c r="C49" s="13" t="str">
        <f>IF(A49="","",IF(AND(ISNUMBER(B49),ISNUMBER($C$44)),IF(B49&gt;0,INT(ROUND($C$44/B49,9)),"계산 불가(판매 0)"),"계산 불가"))</f>
        <v/>
      </c>
      <c r="D49" s="28" t="str">
        <f>IF(ISNUMBER(C49),상품·기준!$C$13+C49+1,"")</f>
        <v/>
      </c>
      <c r="E49" s="28" t="str">
        <f>IF(A49="","",IF(NOT(ISNUMBER(D49)),"계산 불가",IF(AND(ISNUMBER($C$45),ISNUMBER($C$46)),D49-$C$45-$C$46,"계산 불가(리드타임 미확인)")))</f>
        <v/>
      </c>
    </row>
    <row r="50" spans="1:5">
      <c r="A50" s="4" t="str">
        <f>판매속도!A14</f>
        <v/>
      </c>
      <c r="B50" s="27" t="str">
        <f>판매속도!B14</f>
        <v/>
      </c>
      <c r="C50" s="13" t="str">
        <f>IF(A50="","",IF(AND(ISNUMBER(B50),ISNUMBER($C$44)),IF(B50&gt;0,INT(ROUND($C$44/B50,9)),"계산 불가(판매 0)"),"계산 불가"))</f>
        <v/>
      </c>
      <c r="D50" s="28" t="str">
        <f>IF(ISNUMBER(C50),상품·기준!$C$13+C50+1,"")</f>
        <v/>
      </c>
      <c r="E50" s="28" t="str">
        <f>IF(A50="","",IF(NOT(ISNUMBER(D50)),"계산 불가",IF(AND(ISNUMBER($C$45),ISNUMBER($C$46)),D50-$C$45-$C$46,"계산 불가(리드타임 미확인)")))</f>
        <v/>
      </c>
    </row>
    <row r="51" spans="1:5">
      <c r="A51" s="4" t="str">
        <f>판매속도!A15</f>
        <v/>
      </c>
      <c r="B51" s="27" t="str">
        <f>판매속도!B15</f>
        <v/>
      </c>
      <c r="C51" s="13" t="str">
        <f>IF(A51="","",IF(AND(ISNUMBER(B51),ISNUMBER($C$44)),IF(B51&gt;0,INT(ROUND($C$44/B51,9)),"계산 불가(판매 0)"),"계산 불가"))</f>
        <v/>
      </c>
      <c r="D51" s="28" t="str">
        <f>IF(ISNUMBER(C51),상품·기준!$C$13+C51+1,"")</f>
        <v/>
      </c>
      <c r="E51" s="28" t="str">
        <f>IF(A51="","",IF(NOT(ISNUMBER(D51)),"계산 불가",IF(AND(ISNUMBER($C$45),ISNUMBER($C$46)),D51-$C$45-$C$46,"계산 불가(리드타임 미확인)")))</f>
        <v/>
      </c>
    </row>
    <row r="52" spans="1:5">
      <c r="A52" s="4" t="str">
        <f>판매속도!A16</f>
        <v/>
      </c>
      <c r="B52" s="27" t="str">
        <f>판매속도!B16</f>
        <v/>
      </c>
      <c r="C52" s="13" t="str">
        <f>IF(A52="","",IF(AND(ISNUMBER(B52),ISNUMBER($C$44)),IF(B52&gt;0,INT(ROUND($C$44/B52,9)),"계산 불가(판매 0)"),"계산 불가"))</f>
        <v/>
      </c>
      <c r="D52" s="28" t="str">
        <f>IF(ISNUMBER(C52),상품·기준!$C$13+C52+1,"")</f>
        <v/>
      </c>
      <c r="E52" s="28" t="str">
        <f>IF(A52="","",IF(NOT(ISNUMBER(D52)),"계산 불가",IF(AND(ISNUMBER($C$45),ISNUMBER($C$46)),D52-$C$45-$C$46,"계산 불가(리드타임 미확인)")))</f>
        <v/>
      </c>
    </row>
  </sheetData>
  <mergeCells count="23">
    <mergeCell ref="A29:B29"/>
    <mergeCell ref="A43:B43"/>
    <mergeCell ref="A4:Q4"/>
    <mergeCell ref="A28:B28"/>
    <mergeCell ref="A44:B44"/>
    <mergeCell ref="A19:Q19"/>
    <mergeCell ref="A31:B31"/>
    <mergeCell ref="A30:B30"/>
    <mergeCell ref="D20:H20"/>
    <mergeCell ref="A45:B45"/>
    <mergeCell ref="A1:Q1"/>
    <mergeCell ref="A46:B46"/>
    <mergeCell ref="A41:Q41"/>
    <mergeCell ref="A27:B27"/>
    <mergeCell ref="A21:B21"/>
    <mergeCell ref="A33:B33"/>
    <mergeCell ref="A26:Q26"/>
    <mergeCell ref="A42:B42"/>
    <mergeCell ref="A2:Q2"/>
    <mergeCell ref="A32:B32"/>
    <mergeCell ref="A23:B23"/>
    <mergeCell ref="A22:B22"/>
    <mergeCell ref="A20:B20"/>
  </mergeCells>
  <phoneticPr fontId="11" type="noConversion"/>
  <conditionalFormatting sqref="L7:L16">
    <cfRule type="expression" dxfId="5" priority="1">
      <formula>LEFT(L7,2)="정상"</formula>
    </cfRule>
    <cfRule type="expression" dxfId="4" priority="2">
      <formula>AND(LEN(L7)&gt;0,LEFT(L7,2)&lt;&gt;"정상")</formula>
    </cfRule>
  </conditionalFormatting>
  <pageMargins left="0.75" right="0.75" top="1" bottom="1" header="0.5" footer="0.5"/>
  <pageSetup paperSize="9"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44"/>
  <sheetViews>
    <sheetView workbookViewId="0">
      <pane ySplit="3" topLeftCell="A4" activePane="bottomLeft" state="frozen"/>
      <selection pane="bottomLeft"/>
    </sheetView>
  </sheetViews>
  <sheetFormatPr baseColWidth="10" defaultColWidth="8.83203125" defaultRowHeight="17"/>
  <cols>
    <col min="1" max="1" width="44" customWidth="1"/>
    <col min="2" max="2" width="8" customWidth="1"/>
    <col min="3" max="5" width="22" customWidth="1"/>
    <col min="6" max="6" width="40" customWidth="1"/>
  </cols>
  <sheetData>
    <row r="1" spans="1:6" ht="20">
      <c r="A1" s="42" t="s">
        <v>308</v>
      </c>
      <c r="B1" s="40"/>
      <c r="C1" s="40"/>
      <c r="D1" s="40"/>
      <c r="E1" s="40"/>
      <c r="F1" s="40"/>
    </row>
    <row r="2" spans="1:6" ht="48" customHeight="1">
      <c r="A2" s="39" t="s">
        <v>309</v>
      </c>
      <c r="B2" s="40"/>
      <c r="C2" s="40"/>
      <c r="D2" s="40"/>
      <c r="E2" s="40"/>
      <c r="F2" s="40"/>
    </row>
    <row r="4" spans="1:6">
      <c r="A4" s="41" t="s">
        <v>310</v>
      </c>
      <c r="B4" s="40"/>
      <c r="C4" s="40"/>
      <c r="D4" s="40"/>
      <c r="E4" s="40"/>
      <c r="F4" s="40"/>
    </row>
    <row r="5" spans="1:6">
      <c r="A5" s="1" t="s">
        <v>311</v>
      </c>
      <c r="B5" s="10" t="s">
        <v>15</v>
      </c>
      <c r="C5" s="13" t="str">
        <f>재고점검!B47</f>
        <v>미입력</v>
      </c>
      <c r="F5" s="2" t="s">
        <v>312</v>
      </c>
    </row>
    <row r="6" spans="1:6" ht="32">
      <c r="A6" s="1" t="s">
        <v>294</v>
      </c>
      <c r="B6" s="10" t="s">
        <v>15</v>
      </c>
      <c r="C6" s="13">
        <f>입고예정!C28</f>
        <v>0</v>
      </c>
      <c r="F6" s="2" t="s">
        <v>313</v>
      </c>
    </row>
    <row r="7" spans="1:6">
      <c r="A7" s="1" t="s">
        <v>314</v>
      </c>
      <c r="B7" s="10" t="s">
        <v>15</v>
      </c>
      <c r="C7" s="4" t="str">
        <f>IF(판매속도!A6="","",판매속도!A6)</f>
        <v/>
      </c>
      <c r="F7" s="2" t="s">
        <v>315</v>
      </c>
    </row>
    <row r="8" spans="1:6">
      <c r="A8" s="1" t="s">
        <v>316</v>
      </c>
      <c r="B8" s="10" t="s">
        <v>15</v>
      </c>
      <c r="C8" s="31" t="str">
        <f>판매속도!K6</f>
        <v>계산 불가</v>
      </c>
    </row>
    <row r="9" spans="1:6">
      <c r="A9" s="1" t="s">
        <v>317</v>
      </c>
      <c r="B9" s="10" t="s">
        <v>15</v>
      </c>
      <c r="C9" s="4" t="str">
        <f>IF(판매속도!A7="","",판매속도!A7)</f>
        <v/>
      </c>
      <c r="F9" s="2" t="s">
        <v>318</v>
      </c>
    </row>
    <row r="10" spans="1:6">
      <c r="A10" s="1" t="s">
        <v>319</v>
      </c>
      <c r="B10" s="10" t="s">
        <v>15</v>
      </c>
      <c r="C10" s="31" t="str">
        <f>판매속도!K7</f>
        <v>계산 불가</v>
      </c>
      <c r="F10" s="2" t="s">
        <v>320</v>
      </c>
    </row>
    <row r="11" spans="1:6">
      <c r="A11" s="1" t="s">
        <v>98</v>
      </c>
      <c r="B11" s="10" t="s">
        <v>15</v>
      </c>
      <c r="C11" s="13" t="str">
        <f>IF(상품·기준!$C$30="","미입력",상품·기준!$C$30)</f>
        <v>미입력</v>
      </c>
      <c r="F11" s="2" t="s">
        <v>321</v>
      </c>
    </row>
    <row r="12" spans="1:6">
      <c r="A12" s="1" t="s">
        <v>322</v>
      </c>
      <c r="B12" s="5" t="s">
        <v>13</v>
      </c>
      <c r="C12" s="7"/>
      <c r="F12" s="2" t="s">
        <v>323</v>
      </c>
    </row>
    <row r="13" spans="1:6">
      <c r="A13" s="1" t="s">
        <v>324</v>
      </c>
      <c r="B13" s="10" t="s">
        <v>15</v>
      </c>
      <c r="C13" s="13" t="str">
        <f>입고예정!C21</f>
        <v>미확인</v>
      </c>
    </row>
    <row r="14" spans="1:6">
      <c r="A14" s="1" t="s">
        <v>325</v>
      </c>
      <c r="B14" s="10" t="s">
        <v>15</v>
      </c>
      <c r="C14" s="13" t="str">
        <f>입고예정!C22</f>
        <v>미확인</v>
      </c>
    </row>
    <row r="15" spans="1:6">
      <c r="A15" s="1" t="s">
        <v>326</v>
      </c>
      <c r="B15" s="10" t="s">
        <v>15</v>
      </c>
      <c r="C15" s="13" t="str">
        <f>IF(상품·기준!C10="","미입력",상품·기준!C10)</f>
        <v>미입력</v>
      </c>
    </row>
    <row r="16" spans="1:6">
      <c r="A16" s="1" t="s">
        <v>89</v>
      </c>
      <c r="B16" s="10" t="s">
        <v>15</v>
      </c>
      <c r="C16" s="13" t="str">
        <f>IF(상품·기준!C23="","미입력",상품·기준!C23)</f>
        <v>미입력</v>
      </c>
    </row>
    <row r="17" spans="1:6" ht="48">
      <c r="A17" s="1" t="s">
        <v>327</v>
      </c>
      <c r="B17" s="10" t="s">
        <v>15</v>
      </c>
      <c r="C17" s="24" t="str">
        <f>재고점검!C74</f>
        <v>미입력</v>
      </c>
      <c r="F17" s="2" t="s">
        <v>328</v>
      </c>
    </row>
    <row r="18" spans="1:6">
      <c r="A18" s="1" t="s">
        <v>329</v>
      </c>
      <c r="B18" s="10" t="s">
        <v>15</v>
      </c>
      <c r="C18" s="28" t="str">
        <f>IF(AND(ISNUMBER(상품·기준!$C$13),ISNUMBER(C11)),상품·기준!$C$13+C11,"")</f>
        <v/>
      </c>
      <c r="F18" s="2" t="s">
        <v>330</v>
      </c>
    </row>
    <row r="20" spans="1:6">
      <c r="A20" s="41" t="s">
        <v>331</v>
      </c>
      <c r="B20" s="40"/>
      <c r="C20" s="40"/>
      <c r="D20" s="40"/>
      <c r="E20" s="40"/>
      <c r="F20" s="40"/>
    </row>
    <row r="21" spans="1:6">
      <c r="A21" s="1" t="s">
        <v>332</v>
      </c>
      <c r="B21" s="5" t="s">
        <v>13</v>
      </c>
      <c r="C21" s="3"/>
      <c r="D21" s="3"/>
      <c r="E21" s="3"/>
    </row>
    <row r="22" spans="1:6" ht="32">
      <c r="A22" s="1" t="s">
        <v>333</v>
      </c>
      <c r="B22" s="5" t="s">
        <v>13</v>
      </c>
      <c r="C22" s="6"/>
      <c r="D22" s="6"/>
      <c r="E22" s="6"/>
      <c r="F22" s="2" t="s">
        <v>334</v>
      </c>
    </row>
    <row r="23" spans="1:6">
      <c r="A23" s="1" t="s">
        <v>190</v>
      </c>
      <c r="B23" s="5" t="s">
        <v>13</v>
      </c>
      <c r="C23" s="6"/>
      <c r="D23" s="6"/>
      <c r="E23" s="6"/>
    </row>
    <row r="24" spans="1:6">
      <c r="A24" s="1" t="s">
        <v>335</v>
      </c>
      <c r="B24" s="5" t="s">
        <v>13</v>
      </c>
      <c r="C24" s="6"/>
      <c r="D24" s="6"/>
      <c r="E24" s="6"/>
    </row>
    <row r="25" spans="1:6">
      <c r="A25" s="1" t="s">
        <v>336</v>
      </c>
      <c r="B25" s="10" t="s">
        <v>15</v>
      </c>
      <c r="C25" s="13" t="str">
        <f>IF(ISNUMBER(C22),C22*$C$15,"")</f>
        <v/>
      </c>
      <c r="D25" s="13" t="str">
        <f>IF(ISNUMBER(D22),D22*$C$15,"")</f>
        <v/>
      </c>
      <c r="E25" s="13" t="str">
        <f>IF(ISNUMBER(E22),E22*$C$15,"")</f>
        <v/>
      </c>
    </row>
    <row r="26" spans="1:6">
      <c r="A26" s="1" t="s">
        <v>337</v>
      </c>
      <c r="B26" s="10" t="s">
        <v>15</v>
      </c>
      <c r="C26" s="13" t="str">
        <f>IF(NOT(ISNUMBER(C22)),"미입력",IF(C22&gt;0,IF(AND(ISNUMBER(C23),ISNUMBER(C24)),C23*C25+C24*C22,"단가 미입력"),0))</f>
        <v>미입력</v>
      </c>
      <c r="D26" s="13" t="str">
        <f>IF(NOT(ISNUMBER(D22)),"미입력",IF(D22&gt;0,IF(AND(ISNUMBER(D23),ISNUMBER(D24)),D23*D25+D24*D22,"단가 미입력"),0))</f>
        <v>미입력</v>
      </c>
      <c r="E26" s="13" t="str">
        <f>IF(NOT(ISNUMBER(E22)),"미입력",IF(E22&gt;0,IF(AND(ISNUMBER(E23),ISNUMBER(E24)),E23*E25+E24*E22,"단가 미입력"),0))</f>
        <v>미입력</v>
      </c>
      <c r="F26" s="2" t="s">
        <v>338</v>
      </c>
    </row>
    <row r="27" spans="1:6">
      <c r="A27" s="1" t="s">
        <v>339</v>
      </c>
      <c r="B27" s="10" t="s">
        <v>15</v>
      </c>
      <c r="C27" s="24" t="str">
        <f>IF(AND(ISNUMBER(C26),ISNUMBER(C25)),IF(C25&gt;0,C26/C25,"—"),"—")</f>
        <v>—</v>
      </c>
      <c r="D27" s="24" t="str">
        <f>IF(AND(ISNUMBER(D26),ISNUMBER(D25)),IF(D25&gt;0,D26/D25,"—"),"—")</f>
        <v>—</v>
      </c>
      <c r="E27" s="24" t="str">
        <f>IF(AND(ISNUMBER(E26),ISNUMBER(E25)),IF(E25&gt;0,E26/E25,"—"),"—")</f>
        <v>—</v>
      </c>
    </row>
    <row r="28" spans="1:6">
      <c r="A28" s="1" t="s">
        <v>340</v>
      </c>
      <c r="B28" s="10" t="s">
        <v>15</v>
      </c>
      <c r="C28" s="4" t="str">
        <f>IF(NOT(ISNUMBER(C22)),"미입력",IF(C22=0,"추가 주문 없음",IF(C22&lt;$C$16,"최소 주문수량 미달","정상")))</f>
        <v>미입력</v>
      </c>
      <c r="D28" s="4" t="str">
        <f>IF(NOT(ISNUMBER(D22)),"미입력",IF(D22=0,"추가 주문 없음",IF(D22&lt;$C$16,"최소 주문수량 미달","정상")))</f>
        <v>미입력</v>
      </c>
      <c r="E28" s="4" t="str">
        <f>IF(NOT(ISNUMBER(E22)),"미입력",IF(E22=0,"추가 주문 없음",IF(E22&lt;$C$16,"최소 주문수량 미달","정상")))</f>
        <v>미입력</v>
      </c>
    </row>
    <row r="29" spans="1:6">
      <c r="A29" s="1" t="s">
        <v>341</v>
      </c>
      <c r="B29" s="10" t="s">
        <v>15</v>
      </c>
      <c r="C29" s="28" t="str">
        <f>IF(AND(ISNUMBER(C22),C22&gt;0,ISNUMBER($C$12),ISNUMBER($C$13)),$C$12+$C$13,"해당 없음")</f>
        <v>해당 없음</v>
      </c>
      <c r="D29" s="28" t="str">
        <f>IF(AND(ISNUMBER(D22),D22&gt;0,ISNUMBER($C$12),ISNUMBER($C$13)),$C$12+$C$13,"해당 없음")</f>
        <v>해당 없음</v>
      </c>
      <c r="E29" s="28" t="str">
        <f>IF(AND(ISNUMBER(E22),E22&gt;0,ISNUMBER($C$12),ISNUMBER($C$13)),$C$12+$C$13,"해당 없음")</f>
        <v>해당 없음</v>
      </c>
    </row>
    <row r="30" spans="1:6">
      <c r="A30" s="1" t="s">
        <v>342</v>
      </c>
      <c r="B30" s="10" t="s">
        <v>15</v>
      </c>
      <c r="C30" s="28" t="str">
        <f>IF(AND(ISNUMBER(C22),C22&gt;0,ISNUMBER($C$12),ISNUMBER($C$14)),$C$12+$C$14,"해당 없음")</f>
        <v>해당 없음</v>
      </c>
      <c r="D30" s="28" t="str">
        <f>IF(AND(ISNUMBER(D22),D22&gt;0,ISNUMBER($C$12),ISNUMBER($C$14)),$C$12+$C$14,"해당 없음")</f>
        <v>해당 없음</v>
      </c>
      <c r="E30" s="28" t="str">
        <f>IF(AND(ISNUMBER(E22),E22&gt;0,ISNUMBER($C$12),ISNUMBER($C$14)),$C$12+$C$14,"해당 없음")</f>
        <v>해당 없음</v>
      </c>
    </row>
    <row r="31" spans="1:6" ht="32">
      <c r="A31" s="1" t="s">
        <v>343</v>
      </c>
      <c r="B31" s="10" t="s">
        <v>15</v>
      </c>
      <c r="C31" s="13" t="str">
        <f>IF(AND(ISNUMBER($C$5),ISNUMBER($C$6),ISNUMBER(C25)),$C$5+$C$6+C25,"")</f>
        <v/>
      </c>
      <c r="D31" s="13" t="str">
        <f>IF(AND(ISNUMBER($C$5),ISNUMBER($C$6),ISNUMBER(D25)),$C$5+$C$6+D25,"")</f>
        <v/>
      </c>
      <c r="E31" s="13" t="str">
        <f>IF(AND(ISNUMBER($C$5),ISNUMBER($C$6),ISNUMBER(E25)),$C$5+$C$6+E25,"")</f>
        <v/>
      </c>
      <c r="F31" s="2" t="s">
        <v>344</v>
      </c>
    </row>
    <row r="32" spans="1:6">
      <c r="A32" s="1" t="s">
        <v>345</v>
      </c>
      <c r="B32" s="10" t="s">
        <v>15</v>
      </c>
      <c r="C32" s="13" t="str">
        <f>IF(AND(ISNUMBER(C31),ISNUMBER($C$8)),IF($C$8&gt;0,INT(ROUND(C31/$C$8,9)),"계산 불가(판매 0)"),"계산 불가")</f>
        <v>계산 불가</v>
      </c>
      <c r="D32" s="13" t="str">
        <f>IF(AND(ISNUMBER(D31),ISNUMBER($C$8)),IF($C$8&gt;0,INT(ROUND(D31/$C$8,9)),"계산 불가(판매 0)"),"계산 불가")</f>
        <v>계산 불가</v>
      </c>
      <c r="E32" s="13" t="str">
        <f>IF(AND(ISNUMBER(E31),ISNUMBER($C$8)),IF($C$8&gt;0,INT(ROUND(E31/$C$8,9)),"계산 불가(판매 0)"),"계산 불가")</f>
        <v>계산 불가</v>
      </c>
    </row>
    <row r="33" spans="1:6">
      <c r="A33" s="1" t="s">
        <v>346</v>
      </c>
      <c r="B33" s="10" t="s">
        <v>15</v>
      </c>
      <c r="C33" s="28" t="str">
        <f>IF(ISNUMBER(C32),상품·기준!$C$13+C32,"")</f>
        <v/>
      </c>
      <c r="D33" s="28" t="str">
        <f>IF(ISNUMBER(D32),상품·기준!$C$13+D32,"")</f>
        <v/>
      </c>
      <c r="E33" s="28" t="str">
        <f>IF(ISNUMBER(E32),상품·기준!$C$13+E32,"")</f>
        <v/>
      </c>
    </row>
    <row r="34" spans="1:6">
      <c r="A34" s="1" t="s">
        <v>347</v>
      </c>
      <c r="B34" s="10" t="s">
        <v>15</v>
      </c>
      <c r="C34" s="13" t="str">
        <f>IF(AND(ISNUMBER(C31),ISNUMBER($C$10)),IF($C$10&gt;0,INT(ROUND(C31/$C$10,9)),"계산 불가(판매 0)"),"계산 불가")</f>
        <v>계산 불가</v>
      </c>
      <c r="D34" s="13" t="str">
        <f>IF(AND(ISNUMBER(D31),ISNUMBER($C$10)),IF($C$10&gt;0,INT(ROUND(D31/$C$10,9)),"계산 불가(판매 0)"),"계산 불가")</f>
        <v>계산 불가</v>
      </c>
      <c r="E34" s="13" t="str">
        <f>IF(AND(ISNUMBER(E31),ISNUMBER($C$10)),IF($C$10&gt;0,INT(ROUND(E31/$C$10,9)),"계산 불가(판매 0)"),"계산 불가")</f>
        <v>계산 불가</v>
      </c>
    </row>
    <row r="35" spans="1:6">
      <c r="A35" s="1" t="s">
        <v>348</v>
      </c>
      <c r="B35" s="10" t="s">
        <v>15</v>
      </c>
      <c r="C35" s="28" t="str">
        <f>IF(ISNUMBER(C34),상품·기준!$C$13+C34,"")</f>
        <v/>
      </c>
      <c r="D35" s="28" t="str">
        <f>IF(ISNUMBER(D34),상품·기준!$C$13+D34,"")</f>
        <v/>
      </c>
      <c r="E35" s="28" t="str">
        <f>IF(ISNUMBER(E34),상품·기준!$C$13+E34,"")</f>
        <v/>
      </c>
    </row>
    <row r="36" spans="1:6">
      <c r="A36" s="1" t="s">
        <v>349</v>
      </c>
      <c r="B36" s="10" t="s">
        <v>15</v>
      </c>
      <c r="C36" s="32" t="str">
        <f>IF(AND(ISNUMBER(C31),ISNUMBER($C$8),ISNUMBER($C$11)),MAX(0,C31-$C$8*$C$11),"계산 불가")</f>
        <v>계산 불가</v>
      </c>
      <c r="D36" s="32" t="str">
        <f>IF(AND(ISNUMBER(D31),ISNUMBER($C$8),ISNUMBER($C$11)),MAX(0,D31-$C$8*$C$11),"계산 불가")</f>
        <v>계산 불가</v>
      </c>
      <c r="E36" s="32" t="str">
        <f>IF(AND(ISNUMBER(E31),ISNUMBER($C$8),ISNUMBER($C$11)),MAX(0,E31-$C$8*$C$11),"계산 불가")</f>
        <v>계산 불가</v>
      </c>
      <c r="F36" s="2" t="s">
        <v>350</v>
      </c>
    </row>
    <row r="37" spans="1:6">
      <c r="A37" s="1" t="s">
        <v>351</v>
      </c>
      <c r="B37" s="10" t="s">
        <v>15</v>
      </c>
      <c r="C37" s="32" t="str">
        <f>IF(AND(ISNUMBER(C31),ISNUMBER($C$8),ISNUMBER($C$11)),MAX(0,$C$8*$C$11-C31),"계산 불가")</f>
        <v>계산 불가</v>
      </c>
      <c r="D37" s="32" t="str">
        <f>IF(AND(ISNUMBER(D31),ISNUMBER($C$8),ISNUMBER($C$11)),MAX(0,$C$8*$C$11-D31),"계산 불가")</f>
        <v>계산 불가</v>
      </c>
      <c r="E37" s="32" t="str">
        <f>IF(AND(ISNUMBER(E31),ISNUMBER($C$8),ISNUMBER($C$11)),MAX(0,$C$8*$C$11-E31),"계산 불가")</f>
        <v>계산 불가</v>
      </c>
      <c r="F37" s="2" t="s">
        <v>352</v>
      </c>
    </row>
    <row r="38" spans="1:6" ht="64">
      <c r="A38" s="1" t="s">
        <v>353</v>
      </c>
      <c r="B38" s="10" t="s">
        <v>15</v>
      </c>
      <c r="C38" s="13" t="str">
        <f>IFERROR(IF(NOT(ISNUMBER(C36)),"계산 불가",IF(AND(ISNUMBER(C27),C36&lt;=C25),C36*C27,IF(ISNUMBER(C27),C25*C27,0)+(C36-C25)*$C$17)),"계산 불가")</f>
        <v>계산 불가</v>
      </c>
      <c r="D38" s="13" t="str">
        <f>IFERROR(IF(NOT(ISNUMBER(D36)),"계산 불가",IF(AND(ISNUMBER(D27),D36&lt;=D25),D36*D27,IF(ISNUMBER(D27),D25*D27,0)+(D36-D25)*$C$17)),"계산 불가")</f>
        <v>계산 불가</v>
      </c>
      <c r="E38" s="13" t="str">
        <f>IFERROR(IF(NOT(ISNUMBER(E36)),"계산 불가",IF(AND(ISNUMBER(E27),E36&lt;=E25),E36*E27,IF(ISNUMBER(E27),E25*E27,0)+(E36-E25)*$C$17)),"계산 불가")</f>
        <v>계산 불가</v>
      </c>
      <c r="F38" s="2" t="s">
        <v>354</v>
      </c>
    </row>
    <row r="39" spans="1:6">
      <c r="A39" s="1" t="s">
        <v>355</v>
      </c>
      <c r="B39" s="10" t="s">
        <v>15</v>
      </c>
      <c r="C39" s="32" t="str">
        <f>IF(AND(ISNUMBER(C31),ISNUMBER($C$10),ISNUMBER($C$11)),MAX(0,C31-$C$10*$C$11),"계산 불가")</f>
        <v>계산 불가</v>
      </c>
      <c r="D39" s="32" t="str">
        <f>IF(AND(ISNUMBER(D31),ISNUMBER($C$10),ISNUMBER($C$11)),MAX(0,D31-$C$10*$C$11),"계산 불가")</f>
        <v>계산 불가</v>
      </c>
      <c r="E39" s="32" t="str">
        <f>IF(AND(ISNUMBER(E31),ISNUMBER($C$10),ISNUMBER($C$11)),MAX(0,E31-$C$10*$C$11),"계산 불가")</f>
        <v>계산 불가</v>
      </c>
    </row>
    <row r="40" spans="1:6">
      <c r="A40" s="1" t="s">
        <v>356</v>
      </c>
      <c r="B40" s="10" t="s">
        <v>15</v>
      </c>
      <c r="C40" s="32" t="str">
        <f>IF(AND(ISNUMBER(C31),ISNUMBER($C$10),ISNUMBER($C$11)),MAX(0,$C$10*$C$11-C31),"계산 불가")</f>
        <v>계산 불가</v>
      </c>
      <c r="D40" s="32" t="str">
        <f>IF(AND(ISNUMBER(D31),ISNUMBER($C$10),ISNUMBER($C$11)),MAX(0,$C$10*$C$11-D31),"계산 불가")</f>
        <v>계산 불가</v>
      </c>
      <c r="E40" s="32" t="str">
        <f>IF(AND(ISNUMBER(E31),ISNUMBER($C$10),ISNUMBER($C$11)),MAX(0,$C$10*$C$11-E31),"계산 불가")</f>
        <v>계산 불가</v>
      </c>
    </row>
    <row r="41" spans="1:6">
      <c r="A41" s="1" t="s">
        <v>357</v>
      </c>
      <c r="B41" s="10" t="s">
        <v>15</v>
      </c>
      <c r="C41" s="13" t="str">
        <f>IFERROR(IF(NOT(ISNUMBER(C39)),"계산 불가",IF(AND(ISNUMBER(C27),C39&lt;=C25),C39*C27,IF(ISNUMBER(C27),C25*C27,0)+(C39-C25)*$C$17)),"계산 불가")</f>
        <v>계산 불가</v>
      </c>
      <c r="D41" s="13" t="str">
        <f>IFERROR(IF(NOT(ISNUMBER(D39)),"계산 불가",IF(AND(ISNUMBER(D27),D39&lt;=D25),D39*D27,IF(ISNUMBER(D27),D25*D27,0)+(D39-D25)*$C$17)),"계산 불가")</f>
        <v>계산 불가</v>
      </c>
      <c r="E41" s="13" t="str">
        <f>IFERROR(IF(NOT(ISNUMBER(E39)),"계산 불가",IF(AND(ISNUMBER(E27),E39&lt;=E25),E39*E27,IF(ISNUMBER(E27),E25*E27,0)+(E39-E25)*$C$17)),"계산 불가")</f>
        <v>계산 불가</v>
      </c>
    </row>
    <row r="43" spans="1:6" ht="44" customHeight="1">
      <c r="A43" s="1" t="s">
        <v>358</v>
      </c>
      <c r="B43" s="5" t="s">
        <v>13</v>
      </c>
      <c r="C43" s="17"/>
      <c r="D43" s="17"/>
      <c r="E43" s="17"/>
    </row>
    <row r="44" spans="1:6" ht="56" customHeight="1">
      <c r="A44" s="1" t="s">
        <v>359</v>
      </c>
      <c r="B44" s="5" t="s">
        <v>13</v>
      </c>
      <c r="C44" s="17"/>
      <c r="D44" s="17"/>
      <c r="E44" s="17"/>
    </row>
  </sheetData>
  <mergeCells count="4">
    <mergeCell ref="A20:F20"/>
    <mergeCell ref="A2:F2"/>
    <mergeCell ref="A1:F1"/>
    <mergeCell ref="A4:F4"/>
  </mergeCells>
  <phoneticPr fontId="11" type="noConversion"/>
  <conditionalFormatting sqref="C28:E28">
    <cfRule type="expression" dxfId="3" priority="1">
      <formula>LEFT(C28,2)="정상"</formula>
    </cfRule>
    <cfRule type="expression" dxfId="2" priority="2">
      <formula>AND(LEN(C28)&gt;0,LEFT(C28,2)&lt;&gt;"정상")</formula>
    </cfRule>
  </conditionalFormatting>
  <pageMargins left="0.75" right="0.75" top="1" bottom="1" header="0.5" footer="0.5"/>
  <pageSetup paperSize="9" fitToHeight="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3"/>
  <sheetViews>
    <sheetView workbookViewId="0">
      <pane ySplit="3" topLeftCell="A4" activePane="bottomLeft" state="frozen"/>
      <selection pane="bottomLeft"/>
    </sheetView>
  </sheetViews>
  <sheetFormatPr baseColWidth="10" defaultColWidth="8.83203125" defaultRowHeight="17"/>
  <cols>
    <col min="1" max="1" width="34" customWidth="1"/>
    <col min="2" max="2" width="8" customWidth="1"/>
    <col min="3" max="3" width="20" customWidth="1"/>
    <col min="4" max="5" width="16" customWidth="1"/>
    <col min="6" max="7" width="14" customWidth="1"/>
    <col min="8" max="8" width="10" customWidth="1"/>
    <col min="9" max="9" width="20" customWidth="1"/>
    <col min="10" max="10" width="18" customWidth="1"/>
    <col min="11" max="11" width="14" customWidth="1"/>
  </cols>
  <sheetData>
    <row r="1" spans="1:11" ht="20">
      <c r="A1" s="42" t="s">
        <v>360</v>
      </c>
      <c r="B1" s="40"/>
      <c r="C1" s="40"/>
      <c r="D1" s="40"/>
      <c r="E1" s="40"/>
      <c r="F1" s="40"/>
      <c r="G1" s="40"/>
      <c r="H1" s="40"/>
      <c r="I1" s="40"/>
      <c r="J1" s="40"/>
      <c r="K1" s="40"/>
    </row>
    <row r="2" spans="1:11" ht="48" customHeight="1">
      <c r="A2" s="39" t="s">
        <v>361</v>
      </c>
      <c r="B2" s="40"/>
      <c r="C2" s="40"/>
      <c r="D2" s="40"/>
      <c r="E2" s="40"/>
      <c r="F2" s="40"/>
      <c r="G2" s="40"/>
      <c r="H2" s="40"/>
      <c r="I2" s="40"/>
      <c r="J2" s="40"/>
      <c r="K2" s="40"/>
    </row>
    <row r="4" spans="1:11">
      <c r="A4" s="41" t="s">
        <v>362</v>
      </c>
      <c r="B4" s="40"/>
      <c r="C4" s="40"/>
      <c r="D4" s="40"/>
      <c r="E4" s="40"/>
      <c r="F4" s="40"/>
      <c r="G4" s="40"/>
      <c r="H4" s="40"/>
      <c r="I4" s="40"/>
      <c r="J4" s="40"/>
      <c r="K4" s="40"/>
    </row>
    <row r="5" spans="1:11">
      <c r="A5" s="1" t="s">
        <v>56</v>
      </c>
      <c r="B5" s="5" t="s">
        <v>13</v>
      </c>
      <c r="C5" s="3"/>
    </row>
    <row r="6" spans="1:11">
      <c r="A6" s="1" t="s">
        <v>363</v>
      </c>
      <c r="B6" s="5" t="s">
        <v>13</v>
      </c>
      <c r="C6" s="6"/>
      <c r="D6" s="36" t="s">
        <v>364</v>
      </c>
      <c r="E6" s="38"/>
      <c r="F6" s="38"/>
      <c r="G6" s="38"/>
      <c r="H6" s="38"/>
      <c r="I6" s="38"/>
      <c r="J6" s="37"/>
    </row>
    <row r="7" spans="1:11">
      <c r="A7" s="1" t="s">
        <v>339</v>
      </c>
      <c r="B7" s="5" t="s">
        <v>13</v>
      </c>
      <c r="C7" s="6"/>
    </row>
    <row r="8" spans="1:11">
      <c r="A8" s="1" t="s">
        <v>365</v>
      </c>
      <c r="B8" s="5" t="s">
        <v>13</v>
      </c>
      <c r="C8" s="7"/>
    </row>
    <row r="9" spans="1:11">
      <c r="A9" s="1" t="s">
        <v>72</v>
      </c>
      <c r="B9" s="10" t="s">
        <v>15</v>
      </c>
      <c r="C9" s="28" t="str">
        <f>IF(상품·기준!$C$13="","미입력",상품·기준!$C$13)</f>
        <v>미입력</v>
      </c>
      <c r="D9" s="36" t="s">
        <v>366</v>
      </c>
      <c r="E9" s="38"/>
      <c r="F9" s="38"/>
      <c r="G9" s="38"/>
      <c r="H9" s="38"/>
      <c r="I9" s="38"/>
      <c r="J9" s="37"/>
    </row>
    <row r="10" spans="1:11">
      <c r="A10" s="1" t="s">
        <v>367</v>
      </c>
      <c r="B10" s="5" t="s">
        <v>13</v>
      </c>
      <c r="C10" s="6"/>
      <c r="D10" s="36" t="s">
        <v>368</v>
      </c>
      <c r="E10" s="38"/>
      <c r="F10" s="38"/>
      <c r="G10" s="38"/>
      <c r="H10" s="38"/>
      <c r="I10" s="38"/>
      <c r="J10" s="37"/>
    </row>
    <row r="11" spans="1:11">
      <c r="A11" s="1" t="s">
        <v>369</v>
      </c>
      <c r="B11" s="5" t="s">
        <v>13</v>
      </c>
      <c r="C11" s="6"/>
    </row>
    <row r="12" spans="1:11">
      <c r="A12" s="1" t="s">
        <v>83</v>
      </c>
      <c r="B12" s="5" t="s">
        <v>13</v>
      </c>
      <c r="C12" s="6"/>
    </row>
    <row r="13" spans="1:11">
      <c r="A13" s="1" t="s">
        <v>85</v>
      </c>
      <c r="B13" s="5" t="s">
        <v>13</v>
      </c>
      <c r="C13" s="8"/>
      <c r="D13" s="36" t="s">
        <v>370</v>
      </c>
      <c r="E13" s="38"/>
      <c r="F13" s="38"/>
      <c r="G13" s="38"/>
      <c r="H13" s="38"/>
      <c r="I13" s="38"/>
      <c r="J13" s="37"/>
    </row>
    <row r="14" spans="1:11">
      <c r="A14" s="1" t="s">
        <v>87</v>
      </c>
      <c r="B14" s="5" t="s">
        <v>13</v>
      </c>
      <c r="C14" s="6"/>
    </row>
    <row r="15" spans="1:11">
      <c r="A15" s="1" t="s">
        <v>371</v>
      </c>
      <c r="B15" s="5" t="s">
        <v>13</v>
      </c>
      <c r="C15" s="6"/>
      <c r="D15" s="36" t="s">
        <v>372</v>
      </c>
      <c r="E15" s="38"/>
      <c r="F15" s="38"/>
      <c r="G15" s="38"/>
      <c r="H15" s="38"/>
      <c r="I15" s="38"/>
      <c r="J15" s="37"/>
    </row>
    <row r="16" spans="1:11">
      <c r="A16" s="1" t="s">
        <v>373</v>
      </c>
      <c r="B16" s="5" t="s">
        <v>13</v>
      </c>
      <c r="C16" s="6"/>
      <c r="D16" s="36" t="s">
        <v>368</v>
      </c>
      <c r="E16" s="38"/>
      <c r="F16" s="38"/>
      <c r="G16" s="38"/>
      <c r="H16" s="38"/>
      <c r="I16" s="38"/>
      <c r="J16" s="37"/>
    </row>
    <row r="17" spans="1:11">
      <c r="A17" s="41" t="s">
        <v>374</v>
      </c>
      <c r="B17" s="40"/>
      <c r="C17" s="40"/>
      <c r="D17" s="40"/>
      <c r="E17" s="40"/>
      <c r="F17" s="40"/>
      <c r="G17" s="40"/>
      <c r="H17" s="40"/>
      <c r="I17" s="40"/>
      <c r="J17" s="40"/>
      <c r="K17" s="40"/>
    </row>
    <row r="18" spans="1:11">
      <c r="A18" s="1" t="s">
        <v>375</v>
      </c>
      <c r="B18" s="10" t="s">
        <v>15</v>
      </c>
      <c r="C18" s="13" t="str">
        <f>IF(AND(ISNUMBER(C6),ISNUMBER(C7)),C6*C7,"미입력")</f>
        <v>미입력</v>
      </c>
      <c r="D18" s="36" t="s">
        <v>376</v>
      </c>
      <c r="E18" s="38"/>
      <c r="F18" s="38"/>
      <c r="G18" s="38"/>
      <c r="H18" s="38"/>
      <c r="I18" s="38"/>
      <c r="J18" s="37"/>
    </row>
    <row r="19" spans="1:11">
      <c r="A19" s="1" t="s">
        <v>377</v>
      </c>
      <c r="B19" s="10" t="s">
        <v>15</v>
      </c>
      <c r="C19" s="13" t="str">
        <f>IF(AND(ISNUMBER(C8),ISNUMBER(C9)),C9-C8,"미입력")</f>
        <v>미입력</v>
      </c>
      <c r="D19" s="36" t="s">
        <v>378</v>
      </c>
      <c r="E19" s="38"/>
      <c r="F19" s="38"/>
      <c r="G19" s="38"/>
      <c r="H19" s="38"/>
      <c r="I19" s="38"/>
      <c r="J19" s="37"/>
    </row>
    <row r="20" spans="1:11">
      <c r="A20" s="1" t="s">
        <v>379</v>
      </c>
      <c r="B20" s="10" t="s">
        <v>15</v>
      </c>
      <c r="C20" s="4" t="str">
        <f>IF(NOT(ISNUMBER(C19)),"미입력",IF(NOT(ISNUMBER(C15)),"기준 일수 미입력",IF(C19&gt;=C15,"점검 대상","기준 미만")))</f>
        <v>미입력</v>
      </c>
    </row>
    <row r="21" spans="1:11">
      <c r="A21" s="1" t="s">
        <v>380</v>
      </c>
      <c r="B21" s="10" t="s">
        <v>15</v>
      </c>
      <c r="C21" s="31" t="str">
        <f>IF(AND(ISNUMBER(C11),ISNUMBER(C10),C10&gt;0),C11/C10,"미입력")</f>
        <v>미입력</v>
      </c>
      <c r="D21" s="36" t="s">
        <v>381</v>
      </c>
      <c r="E21" s="38"/>
      <c r="F21" s="38"/>
      <c r="G21" s="38"/>
      <c r="H21" s="38"/>
      <c r="I21" s="38"/>
      <c r="J21" s="37"/>
    </row>
    <row r="22" spans="1:11">
      <c r="A22" s="1" t="s">
        <v>382</v>
      </c>
      <c r="B22" s="10" t="s">
        <v>15</v>
      </c>
      <c r="C22" s="13" t="str">
        <f>IF(NOT(ISNUMBER(C21)),"미입력",IF(C21&gt;0,INT(ROUND(C6/C21,9)),"계산 불가(판매 0)"))</f>
        <v>미입력</v>
      </c>
      <c r="D22" s="36" t="s">
        <v>383</v>
      </c>
      <c r="E22" s="38"/>
      <c r="F22" s="38"/>
      <c r="G22" s="38"/>
      <c r="H22" s="38"/>
      <c r="I22" s="38"/>
      <c r="J22" s="37"/>
    </row>
    <row r="23" spans="1:11">
      <c r="A23" s="1" t="s">
        <v>384</v>
      </c>
      <c r="B23" s="10" t="s">
        <v>15</v>
      </c>
      <c r="C23" s="13" t="str">
        <f>IF(AND(ISNUMBER(C12),ISNUMBER(C13),ISNUMBER(C14)),C12*(1-C13)-C14,"미입력")</f>
        <v>미입력</v>
      </c>
      <c r="D23" s="36" t="s">
        <v>385</v>
      </c>
      <c r="E23" s="38"/>
      <c r="F23" s="38"/>
      <c r="G23" s="38"/>
      <c r="H23" s="38"/>
      <c r="I23" s="38"/>
      <c r="J23" s="37"/>
    </row>
    <row r="24" spans="1:11">
      <c r="A24" s="1" t="s">
        <v>386</v>
      </c>
      <c r="B24" s="10" t="s">
        <v>15</v>
      </c>
      <c r="C24" s="31" t="str">
        <f>IF(AND(ISNUMBER(C6),ISNUMBER(C16),C16&gt;0),C6/C16,"미입력")</f>
        <v>미입력</v>
      </c>
      <c r="D24" s="36" t="s">
        <v>387</v>
      </c>
      <c r="E24" s="38"/>
      <c r="F24" s="38"/>
      <c r="G24" s="38"/>
      <c r="H24" s="38"/>
      <c r="I24" s="38"/>
      <c r="J24" s="37"/>
    </row>
    <row r="26" spans="1:11">
      <c r="A26" s="41" t="s">
        <v>388</v>
      </c>
      <c r="B26" s="40"/>
      <c r="C26" s="40"/>
      <c r="D26" s="40"/>
      <c r="E26" s="40"/>
      <c r="F26" s="40"/>
      <c r="G26" s="40"/>
      <c r="H26" s="40"/>
      <c r="I26" s="40"/>
      <c r="J26" s="40"/>
      <c r="K26" s="40"/>
    </row>
    <row r="27" spans="1:11" ht="32">
      <c r="A27" s="9" t="s">
        <v>389</v>
      </c>
      <c r="B27" s="9"/>
      <c r="C27" s="9" t="s">
        <v>390</v>
      </c>
      <c r="D27" s="9" t="s">
        <v>391</v>
      </c>
      <c r="E27" s="9" t="s">
        <v>392</v>
      </c>
      <c r="F27" s="9" t="s">
        <v>393</v>
      </c>
      <c r="G27" s="9" t="s">
        <v>394</v>
      </c>
      <c r="H27" s="9" t="s">
        <v>395</v>
      </c>
      <c r="I27" s="9" t="s">
        <v>396</v>
      </c>
      <c r="J27" s="9" t="s">
        <v>397</v>
      </c>
      <c r="K27" s="9" t="s">
        <v>398</v>
      </c>
    </row>
    <row r="28" spans="1:11">
      <c r="A28" s="3"/>
      <c r="C28" s="6"/>
      <c r="D28" s="6"/>
      <c r="E28" s="13" t="str">
        <f>IF(AND(ISNUMBER(C28),ISNUMBER($C$13),ISNUMBER($C$14)),C28*(1-$C$13)-$C$14,"미입력")</f>
        <v>미입력</v>
      </c>
      <c r="F28" s="13" t="str">
        <f>IF(AND(ISNUMBER(E28),ISNUMBER(D28)),IF(D28&gt;0,E28/D28,"미입력"),"")</f>
        <v/>
      </c>
      <c r="G28" s="27" t="str">
        <f>IF(A28="","",IF(ISNUMBER($C$24),$C$24,"미입력"))</f>
        <v/>
      </c>
      <c r="H28" s="33" t="str">
        <f>IF(A28="","",IF(AND(ISNUMBER(G28),ISNUMBER($C$21)),IF($C$21&gt;0,G28/$C$21,"계산 불가(현재 속도 0)"),"계산 불가"))</f>
        <v/>
      </c>
      <c r="I28" s="13" t="str">
        <f>IF(AND(ISNUMBER(D28),ISNUMBER($C$6),ISNUMBER(E28)),IF(D28&gt;0,ROUNDUP(ROUND($C$6/D28,9),0)*E28,""),"")</f>
        <v/>
      </c>
      <c r="J28" s="19" t="str">
        <f>IF(AND(ISNUMBER(I28),ISNUMBER($C$18)),I28-$C$18,"")</f>
        <v/>
      </c>
      <c r="K28" s="3"/>
    </row>
    <row r="29" spans="1:11">
      <c r="A29" s="3"/>
      <c r="C29" s="6"/>
      <c r="D29" s="6"/>
      <c r="E29" s="13" t="str">
        <f>IF(AND(ISNUMBER(C29),ISNUMBER($C$13),ISNUMBER($C$14)),C29*(1-$C$13)-$C$14,"미입력")</f>
        <v>미입력</v>
      </c>
      <c r="F29" s="13" t="str">
        <f>IF(AND(ISNUMBER(E29),ISNUMBER(D29)),IF(D29&gt;0,E29/D29,"미입력"),"")</f>
        <v/>
      </c>
      <c r="G29" s="27" t="str">
        <f>IF(A29="","",IF(ISNUMBER($C$24),$C$24,"미입력"))</f>
        <v/>
      </c>
      <c r="H29" s="33" t="str">
        <f>IF(A29="","",IF(AND(ISNUMBER(G29),ISNUMBER($C$21)),IF($C$21&gt;0,G29/$C$21,"계산 불가(현재 속도 0)"),"계산 불가"))</f>
        <v/>
      </c>
      <c r="I29" s="13" t="str">
        <f>IF(AND(ISNUMBER(D29),ISNUMBER($C$6),ISNUMBER(E29)),IF(D29&gt;0,ROUNDUP(ROUND($C$6/D29,9),0)*E29,""),"")</f>
        <v/>
      </c>
      <c r="J29" s="19" t="str">
        <f>IF(AND(ISNUMBER(I29),ISNUMBER($C$18)),I29-$C$18,"")</f>
        <v/>
      </c>
      <c r="K29" s="3"/>
    </row>
    <row r="30" spans="1:11">
      <c r="A30" s="3"/>
      <c r="C30" s="6"/>
      <c r="D30" s="6"/>
      <c r="E30" s="13" t="str">
        <f>IF(AND(ISNUMBER(C30),ISNUMBER($C$13),ISNUMBER($C$14)),C30*(1-$C$13)-$C$14,"미입력")</f>
        <v>미입력</v>
      </c>
      <c r="F30" s="13" t="str">
        <f>IF(AND(ISNUMBER(E30),ISNUMBER(D30)),IF(D30&gt;0,E30/D30,"미입력"),"")</f>
        <v/>
      </c>
      <c r="G30" s="27" t="str">
        <f>IF(A30="","",IF(ISNUMBER($C$24),$C$24,"미입력"))</f>
        <v/>
      </c>
      <c r="H30" s="33" t="str">
        <f>IF(A30="","",IF(AND(ISNUMBER(G30),ISNUMBER($C$21)),IF($C$21&gt;0,G30/$C$21,"계산 불가(현재 속도 0)"),"계산 불가"))</f>
        <v/>
      </c>
      <c r="I30" s="13" t="str">
        <f>IF(AND(ISNUMBER(D30),ISNUMBER($C$6),ISNUMBER(E30)),IF(D30&gt;0,ROUNDUP(ROUND($C$6/D30,9),0)*E30,""),"")</f>
        <v/>
      </c>
      <c r="J30" s="19" t="str">
        <f>IF(AND(ISNUMBER(I30),ISNUMBER($C$18)),I30-$C$18,"")</f>
        <v/>
      </c>
      <c r="K30" s="3"/>
    </row>
    <row r="31" spans="1:11">
      <c r="A31" s="3"/>
      <c r="C31" s="6"/>
      <c r="D31" s="6"/>
      <c r="E31" s="13" t="str">
        <f>IF(AND(ISNUMBER(C31),ISNUMBER($C$13),ISNUMBER($C$14)),C31*(1-$C$13)-$C$14,"미입력")</f>
        <v>미입력</v>
      </c>
      <c r="F31" s="13" t="str">
        <f>IF(AND(ISNUMBER(E31),ISNUMBER(D31)),IF(D31&gt;0,E31/D31,"미입력"),"")</f>
        <v/>
      </c>
      <c r="G31" s="27" t="str">
        <f>IF(A31="","",IF(ISNUMBER($C$24),$C$24,"미입력"))</f>
        <v/>
      </c>
      <c r="H31" s="33" t="str">
        <f>IF(A31="","",IF(AND(ISNUMBER(G31),ISNUMBER($C$21)),IF($C$21&gt;0,G31/$C$21,"계산 불가(현재 속도 0)"),"계산 불가"))</f>
        <v/>
      </c>
      <c r="I31" s="13" t="str">
        <f>IF(AND(ISNUMBER(D31),ISNUMBER($C$6),ISNUMBER(E31)),IF(D31&gt;0,ROUNDUP(ROUND($C$6/D31,9),0)*E31,""),"")</f>
        <v/>
      </c>
      <c r="J31" s="19" t="str">
        <f>IF(AND(ISNUMBER(I31),ISNUMBER($C$18)),I31-$C$18,"")</f>
        <v/>
      </c>
      <c r="K31" s="3"/>
    </row>
    <row r="32" spans="1:11">
      <c r="A32" s="3"/>
      <c r="C32" s="6"/>
      <c r="D32" s="6"/>
      <c r="E32" s="13" t="str">
        <f>IF(AND(ISNUMBER(C32),ISNUMBER($C$13),ISNUMBER($C$14)),C32*(1-$C$13)-$C$14,"미입력")</f>
        <v>미입력</v>
      </c>
      <c r="F32" s="13" t="str">
        <f>IF(AND(ISNUMBER(E32),ISNUMBER(D32)),IF(D32&gt;0,E32/D32,"미입력"),"")</f>
        <v/>
      </c>
      <c r="G32" s="27" t="str">
        <f>IF(A32="","",IF(ISNUMBER($C$24),$C$24,"미입력"))</f>
        <v/>
      </c>
      <c r="H32" s="33" t="str">
        <f>IF(A32="","",IF(AND(ISNUMBER(G32),ISNUMBER($C$21)),IF($C$21&gt;0,G32/$C$21,"계산 불가(현재 속도 0)"),"계산 불가"))</f>
        <v/>
      </c>
      <c r="I32" s="13" t="str">
        <f>IF(AND(ISNUMBER(D32),ISNUMBER($C$6),ISNUMBER(E32)),IF(D32&gt;0,ROUNDUP(ROUND($C$6/D32,9),0)*E32,""),"")</f>
        <v/>
      </c>
      <c r="J32" s="19" t="str">
        <f>IF(AND(ISNUMBER(I32),ISNUMBER($C$18)),I32-$C$18,"")</f>
        <v/>
      </c>
      <c r="K32" s="3"/>
    </row>
    <row r="33" spans="1:11">
      <c r="A33" s="14" t="s">
        <v>399</v>
      </c>
    </row>
    <row r="36" spans="1:11">
      <c r="A36" s="41" t="s">
        <v>400</v>
      </c>
      <c r="B36" s="40"/>
      <c r="C36" s="40"/>
      <c r="D36" s="40"/>
      <c r="E36" s="40"/>
      <c r="F36" s="40"/>
      <c r="G36" s="40"/>
      <c r="H36" s="40"/>
      <c r="I36" s="40"/>
      <c r="J36" s="40"/>
      <c r="K36" s="40"/>
    </row>
    <row r="38" spans="1:11">
      <c r="A38" s="1" t="s">
        <v>401</v>
      </c>
      <c r="B38" s="5" t="s">
        <v>13</v>
      </c>
      <c r="C38" s="3"/>
    </row>
    <row r="39" spans="1:11">
      <c r="A39" s="1" t="s">
        <v>402</v>
      </c>
      <c r="B39" s="5" t="s">
        <v>13</v>
      </c>
      <c r="C39" s="6"/>
      <c r="D39" s="36" t="s">
        <v>403</v>
      </c>
      <c r="E39" s="38"/>
      <c r="F39" s="38"/>
      <c r="G39" s="38"/>
      <c r="H39" s="38"/>
      <c r="I39" s="38"/>
      <c r="J39" s="37"/>
    </row>
    <row r="40" spans="1:11">
      <c r="A40" s="1" t="s">
        <v>404</v>
      </c>
      <c r="B40" s="5" t="s">
        <v>13</v>
      </c>
      <c r="C40" s="3"/>
      <c r="D40" s="36" t="s">
        <v>405</v>
      </c>
      <c r="E40" s="38"/>
      <c r="F40" s="38"/>
      <c r="G40" s="38"/>
      <c r="H40" s="38"/>
      <c r="I40" s="38"/>
      <c r="J40" s="37"/>
    </row>
    <row r="41" spans="1:11">
      <c r="A41" s="1" t="s">
        <v>406</v>
      </c>
      <c r="B41" s="5" t="s">
        <v>13</v>
      </c>
      <c r="C41" s="3"/>
    </row>
    <row r="42" spans="1:11">
      <c r="A42" s="1" t="s">
        <v>407</v>
      </c>
      <c r="B42" s="5" t="s">
        <v>13</v>
      </c>
      <c r="C42" s="7"/>
    </row>
    <row r="43" spans="1:11">
      <c r="A43" s="1" t="s">
        <v>408</v>
      </c>
      <c r="B43" s="10" t="s">
        <v>15</v>
      </c>
      <c r="C43" s="13" t="str">
        <f>IF(AND(ISNUMBER(C24),ISNUMBER(C39)),ROUNDUP(ROUND(C24*C39,9),0),"미입력")</f>
        <v>미입력</v>
      </c>
      <c r="D43" s="36" t="s">
        <v>409</v>
      </c>
      <c r="E43" s="38"/>
      <c r="F43" s="38"/>
      <c r="G43" s="38"/>
      <c r="H43" s="38"/>
      <c r="I43" s="38"/>
      <c r="J43" s="37"/>
    </row>
  </sheetData>
  <mergeCells count="21">
    <mergeCell ref="D43:J43"/>
    <mergeCell ref="D40:J40"/>
    <mergeCell ref="A26:K26"/>
    <mergeCell ref="D21:J21"/>
    <mergeCell ref="A2:K2"/>
    <mergeCell ref="D6:J6"/>
    <mergeCell ref="D13:J13"/>
    <mergeCell ref="A17:K17"/>
    <mergeCell ref="A4:K4"/>
    <mergeCell ref="D16:J16"/>
    <mergeCell ref="A1:K1"/>
    <mergeCell ref="D23:J23"/>
    <mergeCell ref="D10:J10"/>
    <mergeCell ref="D19:J19"/>
    <mergeCell ref="D22:J22"/>
    <mergeCell ref="D18:J18"/>
    <mergeCell ref="D9:J9"/>
    <mergeCell ref="D39:J39"/>
    <mergeCell ref="D24:J24"/>
    <mergeCell ref="A36:K36"/>
    <mergeCell ref="D15:J15"/>
  </mergeCells>
  <phoneticPr fontId="11" type="noConversion"/>
  <dataValidations count="1">
    <dataValidation type="list" allowBlank="1" showErrorMessage="1" errorTitle="목록에서 선택" error="목록에 있는 값을 선택하세요." sqref="K28:K32" xr:uid="{00000000-0002-0000-0700-000000000000}">
      <formula1>"가능,일부,불가"</formula1>
    </dataValidation>
  </dataValidations>
  <pageMargins left="0.75" right="0.75" top="1" bottom="1" header="0.5" footer="0.5"/>
  <pageSetup paperSize="9"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26"/>
  <sheetViews>
    <sheetView workbookViewId="0">
      <pane ySplit="14" topLeftCell="A15" activePane="bottomLeft" state="frozen"/>
      <selection pane="bottomLeft"/>
    </sheetView>
  </sheetViews>
  <sheetFormatPr baseColWidth="10" defaultColWidth="8.83203125" defaultRowHeight="17"/>
  <cols>
    <col min="1" max="1" width="12" customWidth="1"/>
    <col min="2" max="2" width="24" customWidth="1"/>
    <col min="3" max="3" width="36" customWidth="1"/>
    <col min="4" max="4" width="26" customWidth="1"/>
    <col min="5" max="6" width="28" customWidth="1"/>
    <col min="7" max="7" width="30" customWidth="1"/>
    <col min="8" max="8" width="34" customWidth="1"/>
    <col min="9" max="10" width="30" customWidth="1"/>
    <col min="11" max="12" width="13" customWidth="1"/>
    <col min="13" max="13" width="24" customWidth="1"/>
    <col min="14" max="14" width="26" customWidth="1"/>
    <col min="15" max="15" width="30" customWidth="1"/>
  </cols>
  <sheetData>
    <row r="1" spans="1:15" ht="20">
      <c r="A1" s="42" t="s">
        <v>410</v>
      </c>
      <c r="B1" s="40"/>
      <c r="C1" s="40"/>
      <c r="D1" s="40"/>
      <c r="E1" s="40"/>
      <c r="F1" s="40"/>
      <c r="G1" s="40"/>
      <c r="H1" s="40"/>
      <c r="I1" s="40"/>
      <c r="J1" s="40"/>
      <c r="K1" s="40"/>
      <c r="L1" s="40"/>
      <c r="M1" s="40"/>
      <c r="N1" s="40"/>
      <c r="O1" s="40"/>
    </row>
    <row r="2" spans="1:15" ht="48" customHeight="1">
      <c r="A2" s="39" t="s">
        <v>411</v>
      </c>
      <c r="B2" s="40"/>
      <c r="C2" s="40"/>
      <c r="D2" s="40"/>
      <c r="E2" s="40"/>
      <c r="F2" s="40"/>
      <c r="G2" s="40"/>
      <c r="H2" s="40"/>
      <c r="I2" s="40"/>
      <c r="J2" s="40"/>
      <c r="K2" s="40"/>
      <c r="L2" s="40"/>
      <c r="M2" s="40"/>
      <c r="N2" s="40"/>
      <c r="O2" s="40"/>
    </row>
    <row r="4" spans="1:15">
      <c r="A4" s="41" t="s">
        <v>412</v>
      </c>
      <c r="B4" s="40"/>
      <c r="C4" s="40"/>
      <c r="D4" s="40"/>
      <c r="E4" s="40"/>
      <c r="F4" s="40"/>
      <c r="G4" s="40"/>
      <c r="H4" s="40"/>
      <c r="I4" s="40"/>
      <c r="J4" s="40"/>
      <c r="K4" s="40"/>
      <c r="L4" s="40"/>
      <c r="M4" s="40"/>
      <c r="N4" s="40"/>
      <c r="O4" s="40"/>
    </row>
    <row r="5" spans="1:15">
      <c r="A5" s="46" t="s">
        <v>413</v>
      </c>
      <c r="B5" s="37"/>
      <c r="C5" s="47" t="str">
        <f>재고점검!B47</f>
        <v>미입력</v>
      </c>
      <c r="D5" s="38"/>
      <c r="E5" s="37"/>
    </row>
    <row r="6" spans="1:15">
      <c r="A6" s="46" t="s">
        <v>414</v>
      </c>
      <c r="B6" s="37"/>
      <c r="C6" s="44" t="str">
        <f>IF(AND(ISNUMBER(판매속도!K6),ISNUMBER(판매속도!K7)),ROUND(판매속도!K6,2)&amp;" ~ "&amp;ROUND(판매속도!K7,2),"계산 불가")</f>
        <v>계산 불가</v>
      </c>
      <c r="D6" s="38"/>
      <c r="E6" s="37"/>
    </row>
    <row r="7" spans="1:15">
      <c r="A7" s="46" t="s">
        <v>415</v>
      </c>
      <c r="B7" s="37"/>
      <c r="C7" s="44" t="str">
        <f>IF(AND(ISNUMBER(판매속도!D13),ISNUMBER(판매속도!D14)),판매속도!D13&amp;"일 ~ "&amp;판매속도!D14&amp;"일","계산 불가")</f>
        <v>계산 불가</v>
      </c>
      <c r="D7" s="38"/>
      <c r="E7" s="37"/>
    </row>
    <row r="8" spans="1:15">
      <c r="A8" s="46" t="s">
        <v>416</v>
      </c>
      <c r="B8" s="37"/>
      <c r="C8" s="44" t="str">
        <f>IFERROR(YEAR(입고예정!C29)&amp;"-"&amp;MONTH(입고예정!C29)&amp;"-"&amp;DAY(입고예정!C29)&amp;" ~ "&amp;YEAR(입고예정!C30)&amp;"-"&amp;MONTH(입고예정!C30)&amp;"-"&amp;DAY(입고예정!C30),"미입고 없음 또는 미확인")</f>
        <v>미입고 없음 또는 미확인</v>
      </c>
      <c r="D8" s="38"/>
      <c r="E8" s="37"/>
    </row>
    <row r="9" spans="1:15">
      <c r="A9" s="46" t="s">
        <v>417</v>
      </c>
      <c r="B9" s="37"/>
      <c r="C9" s="44" t="str">
        <f>IFERROR(YEAR(입고예정!E49)&amp;"-"&amp;MONTH(입고예정!E49)&amp;"-"&amp;DAY(입고예정!E49)&amp;" / "&amp;YEAR(입고예정!E50)&amp;"-"&amp;MONTH(입고예정!E50)&amp;"-"&amp;DAY(입고예정!E50),"계산 불가")</f>
        <v>계산 불가</v>
      </c>
      <c r="D9" s="38"/>
      <c r="E9" s="37"/>
    </row>
    <row r="11" spans="1:15">
      <c r="A11" s="41" t="s">
        <v>418</v>
      </c>
      <c r="B11" s="40"/>
      <c r="C11" s="40"/>
      <c r="D11" s="40"/>
      <c r="E11" s="40"/>
      <c r="F11" s="40"/>
      <c r="G11" s="40"/>
      <c r="H11" s="40"/>
      <c r="I11" s="40"/>
      <c r="J11" s="40"/>
      <c r="K11" s="40"/>
      <c r="L11" s="40"/>
      <c r="M11" s="40"/>
      <c r="N11" s="40"/>
      <c r="O11" s="40"/>
    </row>
    <row r="13" spans="1:15">
      <c r="A13" s="5" t="s">
        <v>13</v>
      </c>
      <c r="B13" s="5" t="s">
        <v>13</v>
      </c>
      <c r="C13" s="5" t="s">
        <v>13</v>
      </c>
      <c r="D13" s="5" t="s">
        <v>13</v>
      </c>
      <c r="E13" s="5" t="s">
        <v>13</v>
      </c>
      <c r="F13" s="5" t="s">
        <v>13</v>
      </c>
      <c r="G13" s="5" t="s">
        <v>13</v>
      </c>
      <c r="H13" s="5" t="s">
        <v>13</v>
      </c>
      <c r="I13" s="5" t="s">
        <v>13</v>
      </c>
      <c r="J13" s="5" t="s">
        <v>13</v>
      </c>
      <c r="K13" s="5" t="s">
        <v>13</v>
      </c>
      <c r="L13" s="5" t="s">
        <v>13</v>
      </c>
      <c r="M13" s="5" t="s">
        <v>13</v>
      </c>
      <c r="N13" s="5" t="s">
        <v>13</v>
      </c>
      <c r="O13" s="10" t="s">
        <v>15</v>
      </c>
    </row>
    <row r="14" spans="1:15">
      <c r="A14" s="9" t="s">
        <v>419</v>
      </c>
      <c r="B14" s="9" t="s">
        <v>420</v>
      </c>
      <c r="C14" s="9" t="s">
        <v>421</v>
      </c>
      <c r="D14" s="9" t="s">
        <v>422</v>
      </c>
      <c r="E14" s="9" t="s">
        <v>423</v>
      </c>
      <c r="F14" s="9" t="s">
        <v>424</v>
      </c>
      <c r="G14" s="9" t="s">
        <v>425</v>
      </c>
      <c r="H14" s="9" t="s">
        <v>426</v>
      </c>
      <c r="I14" s="9" t="s">
        <v>427</v>
      </c>
      <c r="J14" s="9" t="s">
        <v>428</v>
      </c>
      <c r="K14" s="9" t="s">
        <v>429</v>
      </c>
      <c r="L14" s="9" t="s">
        <v>430</v>
      </c>
      <c r="M14" s="9" t="s">
        <v>431</v>
      </c>
      <c r="N14" s="9" t="s">
        <v>432</v>
      </c>
      <c r="O14" s="9" t="s">
        <v>125</v>
      </c>
    </row>
    <row r="15" spans="1:15" ht="64" customHeight="1">
      <c r="A15" s="7"/>
      <c r="B15" s="17"/>
      <c r="C15" s="17"/>
      <c r="D15" s="17"/>
      <c r="E15" s="17"/>
      <c r="F15" s="17"/>
      <c r="G15" s="17"/>
      <c r="H15" s="17"/>
      <c r="I15" s="17"/>
      <c r="J15" s="17"/>
      <c r="K15" s="7"/>
      <c r="L15" s="7"/>
      <c r="M15" s="17"/>
      <c r="N15" s="17"/>
      <c r="O15" s="4" t="str">
        <f t="shared" ref="O15:O26" si="0">IF(COUNTA(A15:N15)=0,"",IF(C15="","선택한 행동 미입력",IF(K15="","재점검 날짜 미입력",IF(OR(NOT(ISNUMBER(K15)),AND(L15&lt;&gt;"",NOT(ISNUMBER(L15)))),"날짜 확인(날짜 형식이 아님)",IF(AND(ISNUMBER(A15),K15&lt;=A15),"날짜 역전(재점검일이 판단일보다 앞)",IF(H15="","중단·변경 조건 미입력","정상"))))))</f>
        <v/>
      </c>
    </row>
    <row r="16" spans="1:15" ht="64" customHeight="1">
      <c r="A16" s="7"/>
      <c r="B16" s="17"/>
      <c r="C16" s="17"/>
      <c r="D16" s="17"/>
      <c r="E16" s="17"/>
      <c r="F16" s="17"/>
      <c r="G16" s="17"/>
      <c r="H16" s="17"/>
      <c r="I16" s="17"/>
      <c r="J16" s="17"/>
      <c r="K16" s="7"/>
      <c r="L16" s="7"/>
      <c r="M16" s="17"/>
      <c r="N16" s="17"/>
      <c r="O16" s="4" t="str">
        <f t="shared" si="0"/>
        <v/>
      </c>
    </row>
    <row r="17" spans="1:15" ht="64" customHeight="1">
      <c r="A17" s="7"/>
      <c r="B17" s="17"/>
      <c r="C17" s="17"/>
      <c r="D17" s="17"/>
      <c r="E17" s="17"/>
      <c r="F17" s="17"/>
      <c r="G17" s="17"/>
      <c r="H17" s="17"/>
      <c r="I17" s="17"/>
      <c r="J17" s="17"/>
      <c r="K17" s="7"/>
      <c r="L17" s="7"/>
      <c r="M17" s="17"/>
      <c r="N17" s="17"/>
      <c r="O17" s="4" t="str">
        <f t="shared" si="0"/>
        <v/>
      </c>
    </row>
    <row r="18" spans="1:15" ht="64" customHeight="1">
      <c r="A18" s="7"/>
      <c r="B18" s="17"/>
      <c r="C18" s="17"/>
      <c r="D18" s="17"/>
      <c r="E18" s="17"/>
      <c r="F18" s="17"/>
      <c r="G18" s="17"/>
      <c r="H18" s="17"/>
      <c r="I18" s="17"/>
      <c r="J18" s="17"/>
      <c r="K18" s="7"/>
      <c r="L18" s="7"/>
      <c r="M18" s="17"/>
      <c r="N18" s="17"/>
      <c r="O18" s="4" t="str">
        <f t="shared" si="0"/>
        <v/>
      </c>
    </row>
    <row r="19" spans="1:15" ht="64" customHeight="1">
      <c r="A19" s="7"/>
      <c r="B19" s="17"/>
      <c r="C19" s="17"/>
      <c r="D19" s="17"/>
      <c r="E19" s="17"/>
      <c r="F19" s="17"/>
      <c r="G19" s="17"/>
      <c r="H19" s="17"/>
      <c r="I19" s="17"/>
      <c r="J19" s="17"/>
      <c r="K19" s="7"/>
      <c r="L19" s="7"/>
      <c r="M19" s="17"/>
      <c r="N19" s="17"/>
      <c r="O19" s="4" t="str">
        <f t="shared" si="0"/>
        <v/>
      </c>
    </row>
    <row r="20" spans="1:15" ht="64" customHeight="1">
      <c r="A20" s="7"/>
      <c r="B20" s="17"/>
      <c r="C20" s="17"/>
      <c r="D20" s="17"/>
      <c r="E20" s="17"/>
      <c r="F20" s="17"/>
      <c r="G20" s="17"/>
      <c r="H20" s="17"/>
      <c r="I20" s="17"/>
      <c r="J20" s="17"/>
      <c r="K20" s="7"/>
      <c r="L20" s="7"/>
      <c r="M20" s="17"/>
      <c r="N20" s="17"/>
      <c r="O20" s="4" t="str">
        <f t="shared" si="0"/>
        <v/>
      </c>
    </row>
    <row r="21" spans="1:15" ht="64" customHeight="1">
      <c r="A21" s="7"/>
      <c r="B21" s="17"/>
      <c r="C21" s="17"/>
      <c r="D21" s="17"/>
      <c r="E21" s="17"/>
      <c r="F21" s="17"/>
      <c r="G21" s="17"/>
      <c r="H21" s="17"/>
      <c r="I21" s="17"/>
      <c r="J21" s="17"/>
      <c r="K21" s="7"/>
      <c r="L21" s="7"/>
      <c r="M21" s="17"/>
      <c r="N21" s="17"/>
      <c r="O21" s="4" t="str">
        <f t="shared" si="0"/>
        <v/>
      </c>
    </row>
    <row r="22" spans="1:15" ht="64" customHeight="1">
      <c r="A22" s="7"/>
      <c r="B22" s="17"/>
      <c r="C22" s="17"/>
      <c r="D22" s="17"/>
      <c r="E22" s="17"/>
      <c r="F22" s="17"/>
      <c r="G22" s="17"/>
      <c r="H22" s="17"/>
      <c r="I22" s="17"/>
      <c r="J22" s="17"/>
      <c r="K22" s="7"/>
      <c r="L22" s="7"/>
      <c r="M22" s="17"/>
      <c r="N22" s="17"/>
      <c r="O22" s="4" t="str">
        <f t="shared" si="0"/>
        <v/>
      </c>
    </row>
    <row r="23" spans="1:15" ht="64" customHeight="1">
      <c r="A23" s="7"/>
      <c r="B23" s="17"/>
      <c r="C23" s="17"/>
      <c r="D23" s="17"/>
      <c r="E23" s="17"/>
      <c r="F23" s="17"/>
      <c r="G23" s="17"/>
      <c r="H23" s="17"/>
      <c r="I23" s="17"/>
      <c r="J23" s="17"/>
      <c r="K23" s="7"/>
      <c r="L23" s="7"/>
      <c r="M23" s="17"/>
      <c r="N23" s="17"/>
      <c r="O23" s="4" t="str">
        <f t="shared" si="0"/>
        <v/>
      </c>
    </row>
    <row r="24" spans="1:15" ht="64" customHeight="1">
      <c r="A24" s="7"/>
      <c r="B24" s="17"/>
      <c r="C24" s="17"/>
      <c r="D24" s="17"/>
      <c r="E24" s="17"/>
      <c r="F24" s="17"/>
      <c r="G24" s="17"/>
      <c r="H24" s="17"/>
      <c r="I24" s="17"/>
      <c r="J24" s="17"/>
      <c r="K24" s="7"/>
      <c r="L24" s="7"/>
      <c r="M24" s="17"/>
      <c r="N24" s="17"/>
      <c r="O24" s="4" t="str">
        <f t="shared" si="0"/>
        <v/>
      </c>
    </row>
    <row r="25" spans="1:15" ht="64" customHeight="1">
      <c r="A25" s="7"/>
      <c r="B25" s="17"/>
      <c r="C25" s="17"/>
      <c r="D25" s="17"/>
      <c r="E25" s="17"/>
      <c r="F25" s="17"/>
      <c r="G25" s="17"/>
      <c r="H25" s="17"/>
      <c r="I25" s="17"/>
      <c r="J25" s="17"/>
      <c r="K25" s="7"/>
      <c r="L25" s="7"/>
      <c r="M25" s="17"/>
      <c r="N25" s="17"/>
      <c r="O25" s="4" t="str">
        <f t="shared" si="0"/>
        <v/>
      </c>
    </row>
    <row r="26" spans="1:15" ht="64" customHeight="1">
      <c r="A26" s="7"/>
      <c r="B26" s="17"/>
      <c r="C26" s="17"/>
      <c r="D26" s="17"/>
      <c r="E26" s="17"/>
      <c r="F26" s="17"/>
      <c r="G26" s="17"/>
      <c r="H26" s="17"/>
      <c r="I26" s="17"/>
      <c r="J26" s="17"/>
      <c r="K26" s="7"/>
      <c r="L26" s="7"/>
      <c r="M26" s="17"/>
      <c r="N26" s="17"/>
      <c r="O26" s="4" t="str">
        <f t="shared" si="0"/>
        <v/>
      </c>
    </row>
  </sheetData>
  <mergeCells count="14">
    <mergeCell ref="A1:O1"/>
    <mergeCell ref="C9:E9"/>
    <mergeCell ref="C7:E7"/>
    <mergeCell ref="A8:B8"/>
    <mergeCell ref="A4:O4"/>
    <mergeCell ref="A6:B6"/>
    <mergeCell ref="C6:E6"/>
    <mergeCell ref="A2:O2"/>
    <mergeCell ref="C5:E5"/>
    <mergeCell ref="A7:B7"/>
    <mergeCell ref="A9:B9"/>
    <mergeCell ref="A11:O11"/>
    <mergeCell ref="A5:B5"/>
    <mergeCell ref="C8:E8"/>
  </mergeCells>
  <phoneticPr fontId="11" type="noConversion"/>
  <conditionalFormatting sqref="O15:O26">
    <cfRule type="expression" dxfId="1" priority="1">
      <formula>LEFT(O15,2)="정상"</formula>
    </cfRule>
    <cfRule type="expression" dxfId="0" priority="2">
      <formula>AND(LEN(O15)&gt;0,LEFT(O15,2)&lt;&gt;"정상")</formula>
    </cfRule>
  </conditionalFormatting>
  <pageMargins left="0.75" right="0.75" top="1" bottom="1" header="0.5" footer="0.5"/>
  <pageSetup paperSize="9" fitToHeight="0"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249"/>
  <sheetViews>
    <sheetView workbookViewId="0">
      <pane ySplit="3" topLeftCell="A4" activePane="bottomLeft" state="frozen"/>
      <selection pane="bottomLeft"/>
    </sheetView>
  </sheetViews>
  <sheetFormatPr baseColWidth="10" defaultColWidth="8.83203125" defaultRowHeight="17"/>
  <cols>
    <col min="1" max="1" width="52" customWidth="1"/>
    <col min="2" max="9" width="14" customWidth="1"/>
    <col min="10" max="10" width="30" customWidth="1"/>
  </cols>
  <sheetData>
    <row r="1" spans="1:10" ht="20">
      <c r="A1" s="42" t="s">
        <v>433</v>
      </c>
      <c r="B1" s="40"/>
      <c r="C1" s="40"/>
      <c r="D1" s="40"/>
      <c r="E1" s="40"/>
      <c r="F1" s="40"/>
      <c r="G1" s="40"/>
      <c r="H1" s="40"/>
      <c r="I1" s="40"/>
      <c r="J1" s="40"/>
    </row>
    <row r="2" spans="1:10" ht="48" customHeight="1">
      <c r="A2" s="39" t="s">
        <v>434</v>
      </c>
      <c r="B2" s="40"/>
      <c r="C2" s="40"/>
      <c r="D2" s="40"/>
      <c r="E2" s="40"/>
      <c r="F2" s="40"/>
      <c r="G2" s="40"/>
      <c r="H2" s="40"/>
      <c r="I2" s="40"/>
      <c r="J2" s="40"/>
    </row>
    <row r="4" spans="1:10">
      <c r="A4" s="41" t="s">
        <v>435</v>
      </c>
      <c r="B4" s="40"/>
      <c r="C4" s="40"/>
      <c r="D4" s="40"/>
      <c r="E4" s="40"/>
      <c r="F4" s="40"/>
      <c r="G4" s="40"/>
      <c r="H4" s="40"/>
      <c r="I4" s="40"/>
      <c r="J4" s="40"/>
    </row>
    <row r="5" spans="1:10">
      <c r="A5" s="9" t="s">
        <v>142</v>
      </c>
      <c r="B5" s="45" t="s">
        <v>436</v>
      </c>
      <c r="C5" s="37"/>
      <c r="D5" s="45" t="s">
        <v>437</v>
      </c>
      <c r="E5" s="38"/>
      <c r="F5" s="38"/>
      <c r="G5" s="38"/>
      <c r="H5" s="38"/>
      <c r="I5" s="38"/>
      <c r="J5" s="37"/>
    </row>
    <row r="6" spans="1:10" ht="24" customHeight="1">
      <c r="A6" s="46" t="s">
        <v>438</v>
      </c>
      <c r="B6" s="50">
        <v>29</v>
      </c>
      <c r="C6" s="37"/>
      <c r="D6" s="36" t="s">
        <v>439</v>
      </c>
      <c r="E6" s="38"/>
      <c r="F6" s="38"/>
      <c r="G6" s="38"/>
      <c r="H6" s="38"/>
      <c r="I6" s="38"/>
      <c r="J6" s="37"/>
    </row>
    <row r="7" spans="1:10" ht="24" customHeight="1">
      <c r="A7" s="46" t="s">
        <v>440</v>
      </c>
      <c r="B7" s="50">
        <v>25</v>
      </c>
      <c r="C7" s="37"/>
      <c r="D7" s="36" t="s">
        <v>441</v>
      </c>
      <c r="E7" s="38"/>
      <c r="F7" s="38"/>
      <c r="G7" s="38"/>
      <c r="H7" s="38"/>
      <c r="I7" s="38"/>
      <c r="J7" s="37"/>
    </row>
    <row r="8" spans="1:10" ht="24" customHeight="1">
      <c r="A8" s="46" t="s">
        <v>158</v>
      </c>
      <c r="B8" s="50">
        <v>-4</v>
      </c>
      <c r="C8" s="37"/>
      <c r="D8" s="36" t="s">
        <v>442</v>
      </c>
      <c r="E8" s="38"/>
      <c r="F8" s="38"/>
      <c r="G8" s="38"/>
      <c r="H8" s="38"/>
      <c r="I8" s="38"/>
      <c r="J8" s="37"/>
    </row>
    <row r="9" spans="1:10" ht="24" customHeight="1">
      <c r="A9" s="46" t="s">
        <v>443</v>
      </c>
      <c r="B9" s="50">
        <v>25</v>
      </c>
      <c r="C9" s="37"/>
      <c r="D9" s="36" t="s">
        <v>444</v>
      </c>
      <c r="E9" s="38"/>
      <c r="F9" s="38"/>
      <c r="G9" s="38"/>
      <c r="H9" s="38"/>
      <c r="I9" s="38"/>
      <c r="J9" s="37"/>
    </row>
    <row r="10" spans="1:10" ht="24" customHeight="1">
      <c r="A10" s="46" t="s">
        <v>445</v>
      </c>
      <c r="B10" s="50">
        <v>1</v>
      </c>
      <c r="C10" s="37"/>
      <c r="D10" s="36" t="s">
        <v>446</v>
      </c>
      <c r="E10" s="38"/>
      <c r="F10" s="38"/>
      <c r="G10" s="38"/>
      <c r="H10" s="38"/>
      <c r="I10" s="38"/>
      <c r="J10" s="37"/>
    </row>
    <row r="11" spans="1:10" ht="24" customHeight="1">
      <c r="A11" s="46" t="s">
        <v>413</v>
      </c>
      <c r="B11" s="50">
        <v>17</v>
      </c>
      <c r="C11" s="37"/>
      <c r="D11" s="36" t="s">
        <v>447</v>
      </c>
      <c r="E11" s="38"/>
      <c r="F11" s="38"/>
      <c r="G11" s="38"/>
      <c r="H11" s="38"/>
      <c r="I11" s="38"/>
      <c r="J11" s="37"/>
    </row>
    <row r="12" spans="1:10" ht="24" customHeight="1">
      <c r="A12" s="46" t="s">
        <v>448</v>
      </c>
      <c r="B12" s="50">
        <v>168750</v>
      </c>
      <c r="C12" s="37"/>
      <c r="D12" s="36" t="s">
        <v>449</v>
      </c>
      <c r="E12" s="38"/>
      <c r="F12" s="38"/>
      <c r="G12" s="38"/>
      <c r="H12" s="38"/>
      <c r="I12" s="38"/>
      <c r="J12" s="37"/>
    </row>
    <row r="13" spans="1:10" ht="24" customHeight="1">
      <c r="A13" s="46" t="s">
        <v>202</v>
      </c>
      <c r="B13" s="50">
        <v>6570</v>
      </c>
      <c r="C13" s="37"/>
      <c r="D13" s="36" t="s">
        <v>450</v>
      </c>
      <c r="E13" s="38"/>
      <c r="F13" s="38"/>
      <c r="G13" s="38"/>
      <c r="H13" s="38"/>
      <c r="I13" s="38"/>
      <c r="J13" s="37"/>
    </row>
    <row r="14" spans="1:10" ht="24" customHeight="1">
      <c r="A14" s="46" t="s">
        <v>451</v>
      </c>
      <c r="B14" s="50">
        <v>243000</v>
      </c>
      <c r="C14" s="37"/>
      <c r="D14" s="36" t="s">
        <v>452</v>
      </c>
      <c r="E14" s="38"/>
      <c r="F14" s="38"/>
      <c r="G14" s="38"/>
      <c r="H14" s="38"/>
      <c r="I14" s="38"/>
      <c r="J14" s="37"/>
    </row>
    <row r="15" spans="1:10" ht="24" customHeight="1">
      <c r="A15" s="46" t="s">
        <v>453</v>
      </c>
      <c r="B15" s="50">
        <v>411750</v>
      </c>
      <c r="C15" s="37"/>
      <c r="D15" s="36" t="s">
        <v>454</v>
      </c>
      <c r="E15" s="38"/>
      <c r="F15" s="38"/>
      <c r="G15" s="38"/>
      <c r="H15" s="38"/>
      <c r="I15" s="38"/>
      <c r="J15" s="37"/>
    </row>
    <row r="16" spans="1:10" ht="24" customHeight="1">
      <c r="A16" s="46" t="s">
        <v>455</v>
      </c>
      <c r="B16" s="49" t="s">
        <v>456</v>
      </c>
      <c r="C16" s="37"/>
      <c r="D16" s="36" t="s">
        <v>457</v>
      </c>
      <c r="E16" s="38"/>
      <c r="F16" s="38"/>
      <c r="G16" s="38"/>
      <c r="H16" s="38"/>
      <c r="I16" s="38"/>
      <c r="J16" s="37"/>
    </row>
    <row r="17" spans="1:10" ht="24" customHeight="1">
      <c r="A17" s="46" t="s">
        <v>458</v>
      </c>
      <c r="B17" s="49" t="s">
        <v>459</v>
      </c>
      <c r="C17" s="37"/>
      <c r="D17" s="36" t="s">
        <v>460</v>
      </c>
      <c r="E17" s="38"/>
      <c r="F17" s="38"/>
      <c r="G17" s="38"/>
      <c r="H17" s="38"/>
      <c r="I17" s="38"/>
      <c r="J17" s="37"/>
    </row>
    <row r="18" spans="1:10" ht="24" customHeight="1">
      <c r="A18" s="46" t="s">
        <v>461</v>
      </c>
      <c r="B18" s="49" t="s">
        <v>462</v>
      </c>
      <c r="C18" s="37"/>
      <c r="D18" s="36" t="s">
        <v>463</v>
      </c>
      <c r="E18" s="38"/>
      <c r="F18" s="38"/>
      <c r="G18" s="38"/>
      <c r="H18" s="38"/>
      <c r="I18" s="38"/>
      <c r="J18" s="37"/>
    </row>
    <row r="19" spans="1:10" ht="24" customHeight="1">
      <c r="A19" s="46" t="s">
        <v>464</v>
      </c>
      <c r="B19" s="50">
        <v>9210</v>
      </c>
      <c r="C19" s="37"/>
      <c r="D19" s="36" t="s">
        <v>465</v>
      </c>
      <c r="E19" s="38"/>
      <c r="F19" s="38"/>
      <c r="G19" s="38"/>
      <c r="H19" s="38"/>
      <c r="I19" s="38"/>
      <c r="J19" s="37"/>
    </row>
    <row r="20" spans="1:10" ht="24" customHeight="1">
      <c r="A20" s="46" t="s">
        <v>466</v>
      </c>
      <c r="B20" s="48">
        <v>0.92</v>
      </c>
      <c r="C20" s="37"/>
      <c r="D20" s="36" t="s">
        <v>467</v>
      </c>
      <c r="E20" s="38"/>
      <c r="F20" s="38"/>
      <c r="G20" s="38"/>
      <c r="H20" s="38"/>
      <c r="I20" s="38"/>
      <c r="J20" s="37"/>
    </row>
    <row r="21" spans="1:10" ht="24" customHeight="1">
      <c r="A21" s="46" t="s">
        <v>468</v>
      </c>
      <c r="B21" s="48">
        <v>1.038461538461539</v>
      </c>
      <c r="C21" s="37"/>
      <c r="D21" s="36" t="s">
        <v>469</v>
      </c>
      <c r="E21" s="38"/>
      <c r="F21" s="38"/>
      <c r="G21" s="38"/>
      <c r="H21" s="38"/>
      <c r="I21" s="38"/>
      <c r="J21" s="37"/>
    </row>
    <row r="22" spans="1:10" ht="24" customHeight="1">
      <c r="A22" s="46" t="s">
        <v>470</v>
      </c>
      <c r="B22" s="48">
        <v>2</v>
      </c>
      <c r="C22" s="37"/>
      <c r="D22" s="36" t="s">
        <v>471</v>
      </c>
      <c r="E22" s="38"/>
      <c r="F22" s="38"/>
      <c r="G22" s="38"/>
      <c r="H22" s="38"/>
      <c r="I22" s="38"/>
      <c r="J22" s="37"/>
    </row>
    <row r="23" spans="1:10" ht="24" customHeight="1">
      <c r="A23" s="46" t="s">
        <v>472</v>
      </c>
      <c r="B23" s="49" t="s">
        <v>473</v>
      </c>
      <c r="C23" s="37"/>
      <c r="D23" s="36" t="s">
        <v>474</v>
      </c>
      <c r="E23" s="38"/>
      <c r="F23" s="38"/>
      <c r="G23" s="38"/>
      <c r="H23" s="38"/>
      <c r="I23" s="38"/>
      <c r="J23" s="37"/>
    </row>
    <row r="24" spans="1:10" ht="24" customHeight="1">
      <c r="A24" s="46" t="s">
        <v>475</v>
      </c>
      <c r="B24" s="49" t="s">
        <v>476</v>
      </c>
      <c r="C24" s="37"/>
      <c r="D24" s="36" t="s">
        <v>477</v>
      </c>
      <c r="E24" s="38"/>
      <c r="F24" s="38"/>
      <c r="G24" s="38"/>
      <c r="H24" s="38"/>
      <c r="I24" s="38"/>
      <c r="J24" s="37"/>
    </row>
    <row r="25" spans="1:10" ht="24" customHeight="1">
      <c r="A25" s="46" t="s">
        <v>478</v>
      </c>
      <c r="B25" s="49" t="s">
        <v>479</v>
      </c>
      <c r="C25" s="37"/>
      <c r="D25" s="36" t="s">
        <v>480</v>
      </c>
      <c r="E25" s="38"/>
      <c r="F25" s="38"/>
      <c r="G25" s="38"/>
      <c r="H25" s="38"/>
      <c r="I25" s="38"/>
      <c r="J25" s="37"/>
    </row>
    <row r="26" spans="1:10" ht="24" customHeight="1">
      <c r="A26" s="46" t="s">
        <v>481</v>
      </c>
      <c r="B26" s="49" t="s">
        <v>482</v>
      </c>
      <c r="C26" s="37"/>
      <c r="D26" s="36" t="s">
        <v>483</v>
      </c>
      <c r="E26" s="38"/>
      <c r="F26" s="38"/>
      <c r="G26" s="38"/>
      <c r="H26" s="38"/>
      <c r="I26" s="38"/>
      <c r="J26" s="37"/>
    </row>
    <row r="27" spans="1:10" ht="24" customHeight="1">
      <c r="A27" s="46" t="s">
        <v>484</v>
      </c>
      <c r="B27" s="49" t="s">
        <v>485</v>
      </c>
      <c r="C27" s="37"/>
      <c r="D27" s="36" t="s">
        <v>486</v>
      </c>
      <c r="E27" s="38"/>
      <c r="F27" s="38"/>
      <c r="G27" s="38"/>
      <c r="H27" s="38"/>
      <c r="I27" s="38"/>
      <c r="J27" s="37"/>
    </row>
    <row r="28" spans="1:10" ht="24" customHeight="1">
      <c r="A28" s="46" t="s">
        <v>487</v>
      </c>
      <c r="B28" s="49" t="s">
        <v>488</v>
      </c>
      <c r="C28" s="37"/>
      <c r="D28" s="36" t="s">
        <v>489</v>
      </c>
      <c r="E28" s="38"/>
      <c r="F28" s="38"/>
      <c r="G28" s="38"/>
      <c r="H28" s="38"/>
      <c r="I28" s="38"/>
      <c r="J28" s="37"/>
    </row>
    <row r="29" spans="1:10" ht="24" customHeight="1">
      <c r="A29" s="46" t="s">
        <v>490</v>
      </c>
      <c r="B29" s="49" t="s">
        <v>491</v>
      </c>
      <c r="C29" s="37"/>
      <c r="D29" s="36" t="s">
        <v>492</v>
      </c>
      <c r="E29" s="38"/>
      <c r="F29" s="38"/>
      <c r="G29" s="38"/>
      <c r="H29" s="38"/>
      <c r="I29" s="38"/>
      <c r="J29" s="37"/>
    </row>
    <row r="30" spans="1:10" ht="24" customHeight="1">
      <c r="A30" s="46" t="s">
        <v>493</v>
      </c>
      <c r="B30" s="49" t="s">
        <v>494</v>
      </c>
      <c r="C30" s="37"/>
      <c r="D30" s="36" t="s">
        <v>495</v>
      </c>
      <c r="E30" s="38"/>
      <c r="F30" s="38"/>
      <c r="G30" s="38"/>
      <c r="H30" s="38"/>
      <c r="I30" s="38"/>
      <c r="J30" s="37"/>
    </row>
    <row r="31" spans="1:10" ht="24" customHeight="1">
      <c r="A31" s="46" t="s">
        <v>496</v>
      </c>
      <c r="B31" s="49" t="s">
        <v>497</v>
      </c>
      <c r="C31" s="37"/>
      <c r="D31" s="36" t="s">
        <v>498</v>
      </c>
      <c r="E31" s="38"/>
      <c r="F31" s="38"/>
      <c r="G31" s="38"/>
      <c r="H31" s="38"/>
      <c r="I31" s="38"/>
      <c r="J31" s="37"/>
    </row>
    <row r="32" spans="1:10" ht="24" customHeight="1">
      <c r="A32" s="46" t="s">
        <v>499</v>
      </c>
      <c r="B32" s="49" t="s">
        <v>500</v>
      </c>
      <c r="C32" s="37"/>
      <c r="D32" s="36" t="s">
        <v>501</v>
      </c>
      <c r="E32" s="38"/>
      <c r="F32" s="38"/>
      <c r="G32" s="38"/>
      <c r="H32" s="38"/>
      <c r="I32" s="38"/>
      <c r="J32" s="37"/>
    </row>
    <row r="33" spans="1:10" ht="24" customHeight="1">
      <c r="A33" s="46" t="s">
        <v>502</v>
      </c>
      <c r="B33" s="49" t="s">
        <v>503</v>
      </c>
      <c r="C33" s="37"/>
      <c r="D33" s="36" t="s">
        <v>504</v>
      </c>
      <c r="E33" s="38"/>
      <c r="F33" s="38"/>
      <c r="G33" s="38"/>
      <c r="H33" s="38"/>
      <c r="I33" s="38"/>
      <c r="J33" s="37"/>
    </row>
    <row r="34" spans="1:10" ht="24" customHeight="1">
      <c r="A34" s="46" t="s">
        <v>505</v>
      </c>
      <c r="B34" s="49" t="s">
        <v>506</v>
      </c>
      <c r="C34" s="37"/>
      <c r="D34" s="36" t="s">
        <v>507</v>
      </c>
      <c r="E34" s="38"/>
      <c r="F34" s="38"/>
      <c r="G34" s="38"/>
      <c r="H34" s="38"/>
      <c r="I34" s="38"/>
      <c r="J34" s="37"/>
    </row>
    <row r="35" spans="1:10" ht="24" customHeight="1">
      <c r="A35" s="46" t="s">
        <v>508</v>
      </c>
      <c r="B35" s="49" t="s">
        <v>509</v>
      </c>
      <c r="C35" s="37"/>
      <c r="D35" s="36" t="s">
        <v>510</v>
      </c>
      <c r="E35" s="38"/>
      <c r="F35" s="38"/>
      <c r="G35" s="38"/>
      <c r="H35" s="38"/>
      <c r="I35" s="38"/>
      <c r="J35" s="37"/>
    </row>
    <row r="36" spans="1:10" ht="24" customHeight="1">
      <c r="A36" s="46" t="s">
        <v>511</v>
      </c>
      <c r="B36" s="49" t="s">
        <v>512</v>
      </c>
      <c r="C36" s="37"/>
      <c r="D36" s="36" t="s">
        <v>513</v>
      </c>
      <c r="E36" s="38"/>
      <c r="F36" s="38"/>
      <c r="G36" s="38"/>
      <c r="H36" s="38"/>
      <c r="I36" s="38"/>
      <c r="J36" s="37"/>
    </row>
    <row r="37" spans="1:10" ht="24" customHeight="1">
      <c r="A37" s="46" t="s">
        <v>514</v>
      </c>
      <c r="B37" s="49" t="s">
        <v>515</v>
      </c>
      <c r="C37" s="37"/>
      <c r="D37" s="36" t="s">
        <v>516</v>
      </c>
      <c r="E37" s="38"/>
      <c r="F37" s="38"/>
      <c r="G37" s="38"/>
      <c r="H37" s="38"/>
      <c r="I37" s="38"/>
      <c r="J37" s="37"/>
    </row>
    <row r="38" spans="1:10" ht="24" customHeight="1">
      <c r="A38" s="46" t="s">
        <v>517</v>
      </c>
      <c r="B38" s="49" t="s">
        <v>518</v>
      </c>
      <c r="C38" s="37"/>
      <c r="D38" s="36" t="s">
        <v>519</v>
      </c>
      <c r="E38" s="38"/>
      <c r="F38" s="38"/>
      <c r="G38" s="38"/>
      <c r="H38" s="38"/>
      <c r="I38" s="38"/>
      <c r="J38" s="37"/>
    </row>
    <row r="39" spans="1:10" ht="24" customHeight="1">
      <c r="A39" s="46" t="s">
        <v>520</v>
      </c>
      <c r="B39" s="49" t="s">
        <v>521</v>
      </c>
      <c r="C39" s="37"/>
      <c r="D39" s="36" t="s">
        <v>522</v>
      </c>
      <c r="E39" s="38"/>
      <c r="F39" s="38"/>
      <c r="G39" s="38"/>
      <c r="H39" s="38"/>
      <c r="I39" s="38"/>
      <c r="J39" s="37"/>
    </row>
    <row r="40" spans="1:10" ht="24" customHeight="1">
      <c r="A40" s="46" t="s">
        <v>523</v>
      </c>
      <c r="B40" s="49" t="s">
        <v>524</v>
      </c>
      <c r="C40" s="37"/>
      <c r="D40" s="36" t="s">
        <v>525</v>
      </c>
      <c r="E40" s="38"/>
      <c r="F40" s="38"/>
      <c r="G40" s="38"/>
      <c r="H40" s="38"/>
      <c r="I40" s="38"/>
      <c r="J40" s="37"/>
    </row>
    <row r="41" spans="1:10" ht="24" customHeight="1">
      <c r="A41" s="46" t="s">
        <v>526</v>
      </c>
      <c r="B41" s="49" t="s">
        <v>527</v>
      </c>
      <c r="C41" s="37"/>
      <c r="D41" s="36" t="s">
        <v>528</v>
      </c>
      <c r="E41" s="38"/>
      <c r="F41" s="38"/>
      <c r="G41" s="38"/>
      <c r="H41" s="38"/>
      <c r="I41" s="38"/>
      <c r="J41" s="37"/>
    </row>
    <row r="42" spans="1:10" ht="24" customHeight="1">
      <c r="A42" s="46" t="s">
        <v>529</v>
      </c>
      <c r="B42" s="49" t="s">
        <v>530</v>
      </c>
      <c r="C42" s="37"/>
      <c r="D42" s="36" t="s">
        <v>531</v>
      </c>
      <c r="E42" s="38"/>
      <c r="F42" s="38"/>
      <c r="G42" s="38"/>
      <c r="H42" s="38"/>
      <c r="I42" s="38"/>
      <c r="J42" s="37"/>
    </row>
    <row r="44" spans="1:10">
      <c r="A44" s="41" t="s">
        <v>532</v>
      </c>
      <c r="B44" s="40"/>
      <c r="C44" s="40"/>
      <c r="D44" s="40"/>
      <c r="E44" s="40"/>
      <c r="F44" s="40"/>
      <c r="G44" s="40"/>
      <c r="H44" s="40"/>
      <c r="I44" s="40"/>
      <c r="J44" s="40"/>
    </row>
    <row r="45" spans="1:10" ht="32">
      <c r="A45" s="9" t="s">
        <v>114</v>
      </c>
      <c r="B45" s="9" t="s">
        <v>102</v>
      </c>
      <c r="C45" s="9" t="s">
        <v>115</v>
      </c>
      <c r="D45" s="9" t="s">
        <v>116</v>
      </c>
      <c r="E45" s="9" t="s">
        <v>117</v>
      </c>
      <c r="F45" s="9" t="s">
        <v>118</v>
      </c>
      <c r="G45" s="9" t="s">
        <v>119</v>
      </c>
      <c r="H45" s="9" t="s">
        <v>120</v>
      </c>
      <c r="I45" s="9" t="s">
        <v>121</v>
      </c>
      <c r="J45" s="9" t="s">
        <v>122</v>
      </c>
    </row>
    <row r="46" spans="1:10">
      <c r="A46" s="34">
        <v>46204</v>
      </c>
      <c r="B46" s="35" t="s">
        <v>147</v>
      </c>
      <c r="C46" s="35" t="s">
        <v>533</v>
      </c>
      <c r="D46" s="35">
        <v>24</v>
      </c>
      <c r="E46" s="35" t="s">
        <v>534</v>
      </c>
      <c r="F46" s="35" t="s">
        <v>208</v>
      </c>
      <c r="G46" s="35">
        <v>6300</v>
      </c>
      <c r="H46" s="35"/>
      <c r="I46" s="35"/>
      <c r="J46" s="35" t="s">
        <v>535</v>
      </c>
    </row>
    <row r="47" spans="1:10">
      <c r="A47" s="34">
        <v>46204</v>
      </c>
      <c r="B47" s="35" t="s">
        <v>536</v>
      </c>
      <c r="C47" s="35" t="s">
        <v>537</v>
      </c>
      <c r="D47" s="35">
        <v>1</v>
      </c>
      <c r="E47" s="35" t="s">
        <v>534</v>
      </c>
      <c r="F47" s="35" t="s">
        <v>208</v>
      </c>
      <c r="G47" s="35"/>
      <c r="H47" s="35"/>
      <c r="I47" s="35"/>
      <c r="J47" s="35"/>
    </row>
    <row r="48" spans="1:10">
      <c r="A48" s="34">
        <v>46207</v>
      </c>
      <c r="B48" s="35" t="s">
        <v>536</v>
      </c>
      <c r="C48" s="35" t="s">
        <v>538</v>
      </c>
      <c r="D48" s="35">
        <v>1</v>
      </c>
      <c r="E48" s="35" t="s">
        <v>534</v>
      </c>
      <c r="F48" s="35" t="s">
        <v>208</v>
      </c>
      <c r="G48" s="35"/>
      <c r="H48" s="35"/>
      <c r="I48" s="35"/>
      <c r="J48" s="35"/>
    </row>
    <row r="49" spans="1:10">
      <c r="A49" s="34">
        <v>46207</v>
      </c>
      <c r="B49" s="35" t="s">
        <v>536</v>
      </c>
      <c r="C49" s="35" t="s">
        <v>539</v>
      </c>
      <c r="D49" s="35">
        <v>1</v>
      </c>
      <c r="E49" s="35" t="s">
        <v>534</v>
      </c>
      <c r="F49" s="35" t="s">
        <v>208</v>
      </c>
      <c r="G49" s="35"/>
      <c r="H49" s="35"/>
      <c r="I49" s="35"/>
      <c r="J49" s="35"/>
    </row>
    <row r="50" spans="1:10">
      <c r="A50" s="34">
        <v>46208</v>
      </c>
      <c r="B50" s="35" t="s">
        <v>536</v>
      </c>
      <c r="C50" s="35" t="s">
        <v>540</v>
      </c>
      <c r="D50" s="35">
        <v>2</v>
      </c>
      <c r="E50" s="35" t="s">
        <v>534</v>
      </c>
      <c r="F50" s="35" t="s">
        <v>208</v>
      </c>
      <c r="G50" s="35"/>
      <c r="H50" s="35"/>
      <c r="I50" s="35"/>
      <c r="J50" s="35"/>
    </row>
    <row r="51" spans="1:10">
      <c r="A51" s="34">
        <v>46208</v>
      </c>
      <c r="B51" s="35" t="s">
        <v>536</v>
      </c>
      <c r="C51" s="35" t="s">
        <v>541</v>
      </c>
      <c r="D51" s="35">
        <v>2</v>
      </c>
      <c r="E51" s="35" t="s">
        <v>534</v>
      </c>
      <c r="F51" s="35" t="s">
        <v>208</v>
      </c>
      <c r="G51" s="35"/>
      <c r="H51" s="35"/>
      <c r="I51" s="35"/>
      <c r="J51" s="35"/>
    </row>
    <row r="52" spans="1:10">
      <c r="A52" s="34">
        <v>46209</v>
      </c>
      <c r="B52" s="35" t="s">
        <v>536</v>
      </c>
      <c r="C52" s="35" t="s">
        <v>542</v>
      </c>
      <c r="D52" s="35">
        <v>1</v>
      </c>
      <c r="E52" s="35" t="s">
        <v>534</v>
      </c>
      <c r="F52" s="35" t="s">
        <v>208</v>
      </c>
      <c r="G52" s="35"/>
      <c r="H52" s="35"/>
      <c r="I52" s="35"/>
      <c r="J52" s="35"/>
    </row>
    <row r="53" spans="1:10">
      <c r="A53" s="34">
        <v>46210</v>
      </c>
      <c r="B53" s="35" t="s">
        <v>536</v>
      </c>
      <c r="C53" s="35" t="s">
        <v>543</v>
      </c>
      <c r="D53" s="35">
        <v>1</v>
      </c>
      <c r="E53" s="35" t="s">
        <v>534</v>
      </c>
      <c r="F53" s="35" t="s">
        <v>208</v>
      </c>
      <c r="G53" s="35"/>
      <c r="H53" s="35"/>
      <c r="I53" s="35"/>
      <c r="J53" s="35"/>
    </row>
    <row r="54" spans="1:10">
      <c r="A54" s="34">
        <v>46211</v>
      </c>
      <c r="B54" s="35" t="s">
        <v>149</v>
      </c>
      <c r="C54" s="35" t="s">
        <v>544</v>
      </c>
      <c r="D54" s="35">
        <v>3</v>
      </c>
      <c r="E54" s="35" t="s">
        <v>545</v>
      </c>
      <c r="F54" s="35" t="s">
        <v>208</v>
      </c>
      <c r="G54" s="35">
        <v>6450</v>
      </c>
      <c r="H54" s="35"/>
      <c r="I54" s="35"/>
      <c r="J54" s="35" t="s">
        <v>546</v>
      </c>
    </row>
    <row r="55" spans="1:10">
      <c r="A55" s="34">
        <v>46211</v>
      </c>
      <c r="B55" s="35" t="s">
        <v>536</v>
      </c>
      <c r="C55" s="35" t="s">
        <v>547</v>
      </c>
      <c r="D55" s="35">
        <v>2</v>
      </c>
      <c r="E55" s="35" t="s">
        <v>534</v>
      </c>
      <c r="F55" s="35" t="s">
        <v>208</v>
      </c>
      <c r="G55" s="35"/>
      <c r="H55" s="35"/>
      <c r="I55" s="35"/>
      <c r="J55" s="35"/>
    </row>
    <row r="56" spans="1:10">
      <c r="A56" s="34">
        <v>46211</v>
      </c>
      <c r="B56" s="35" t="s">
        <v>153</v>
      </c>
      <c r="C56" s="35" t="s">
        <v>544</v>
      </c>
      <c r="D56" s="35">
        <v>2</v>
      </c>
      <c r="E56" s="35" t="s">
        <v>534</v>
      </c>
      <c r="F56" s="35" t="s">
        <v>183</v>
      </c>
      <c r="G56" s="35"/>
      <c r="H56" s="35"/>
      <c r="I56" s="35"/>
      <c r="J56" s="35" t="s">
        <v>548</v>
      </c>
    </row>
    <row r="57" spans="1:10">
      <c r="A57" s="34">
        <v>46212</v>
      </c>
      <c r="B57" s="35" t="s">
        <v>536</v>
      </c>
      <c r="C57" s="35" t="s">
        <v>549</v>
      </c>
      <c r="D57" s="35">
        <v>1</v>
      </c>
      <c r="E57" s="35" t="s">
        <v>534</v>
      </c>
      <c r="F57" s="35" t="s">
        <v>208</v>
      </c>
      <c r="G57" s="35"/>
      <c r="H57" s="35"/>
      <c r="I57" s="35"/>
      <c r="J57" s="35"/>
    </row>
    <row r="58" spans="1:10">
      <c r="A58" s="34">
        <v>46213</v>
      </c>
      <c r="B58" s="35" t="s">
        <v>536</v>
      </c>
      <c r="C58" s="35" t="s">
        <v>550</v>
      </c>
      <c r="D58" s="35">
        <v>1</v>
      </c>
      <c r="E58" s="35" t="s">
        <v>534</v>
      </c>
      <c r="F58" s="35" t="s">
        <v>208</v>
      </c>
      <c r="G58" s="35"/>
      <c r="H58" s="35"/>
      <c r="I58" s="35"/>
      <c r="J58" s="35"/>
    </row>
    <row r="59" spans="1:10">
      <c r="A59" s="34">
        <v>46216</v>
      </c>
      <c r="B59" s="35" t="s">
        <v>536</v>
      </c>
      <c r="C59" s="35" t="s">
        <v>551</v>
      </c>
      <c r="D59" s="35">
        <v>2</v>
      </c>
      <c r="E59" s="35" t="s">
        <v>534</v>
      </c>
      <c r="F59" s="35" t="s">
        <v>208</v>
      </c>
      <c r="G59" s="35"/>
      <c r="H59" s="35"/>
      <c r="I59" s="35"/>
      <c r="J59" s="35"/>
    </row>
    <row r="60" spans="1:10">
      <c r="A60" s="34">
        <v>46216</v>
      </c>
      <c r="B60" s="35" t="s">
        <v>536</v>
      </c>
      <c r="C60" s="35" t="s">
        <v>552</v>
      </c>
      <c r="D60" s="35">
        <v>1</v>
      </c>
      <c r="E60" s="35" t="s">
        <v>534</v>
      </c>
      <c r="F60" s="35" t="s">
        <v>208</v>
      </c>
      <c r="G60" s="35"/>
      <c r="H60" s="35"/>
      <c r="I60" s="35"/>
      <c r="J60" s="35"/>
    </row>
    <row r="61" spans="1:10">
      <c r="A61" s="34">
        <v>46216</v>
      </c>
      <c r="B61" s="35" t="s">
        <v>536</v>
      </c>
      <c r="C61" s="35" t="s">
        <v>553</v>
      </c>
      <c r="D61" s="35">
        <v>1</v>
      </c>
      <c r="E61" s="35" t="s">
        <v>534</v>
      </c>
      <c r="F61" s="35" t="s">
        <v>208</v>
      </c>
      <c r="G61" s="35"/>
      <c r="H61" s="35"/>
      <c r="I61" s="35"/>
      <c r="J61" s="35"/>
    </row>
    <row r="62" spans="1:10">
      <c r="A62" s="34">
        <v>46217</v>
      </c>
      <c r="B62" s="35" t="s">
        <v>536</v>
      </c>
      <c r="C62" s="35" t="s">
        <v>554</v>
      </c>
      <c r="D62" s="35">
        <v>1</v>
      </c>
      <c r="E62" s="35" t="s">
        <v>534</v>
      </c>
      <c r="F62" s="35" t="s">
        <v>208</v>
      </c>
      <c r="G62" s="35"/>
      <c r="H62" s="35"/>
      <c r="I62" s="35"/>
      <c r="J62" s="35"/>
    </row>
    <row r="63" spans="1:10">
      <c r="A63" s="34">
        <v>46223</v>
      </c>
      <c r="B63" s="35" t="s">
        <v>536</v>
      </c>
      <c r="C63" s="35" t="s">
        <v>555</v>
      </c>
      <c r="D63" s="35">
        <v>1</v>
      </c>
      <c r="E63" s="35" t="s">
        <v>534</v>
      </c>
      <c r="F63" s="35" t="s">
        <v>208</v>
      </c>
      <c r="G63" s="35"/>
      <c r="H63" s="35"/>
      <c r="I63" s="35"/>
      <c r="J63" s="35"/>
    </row>
    <row r="64" spans="1:10">
      <c r="A64" s="34">
        <v>46224</v>
      </c>
      <c r="B64" s="35" t="s">
        <v>536</v>
      </c>
      <c r="C64" s="35" t="s">
        <v>556</v>
      </c>
      <c r="D64" s="35">
        <v>1</v>
      </c>
      <c r="E64" s="35" t="s">
        <v>534</v>
      </c>
      <c r="F64" s="35" t="s">
        <v>208</v>
      </c>
      <c r="G64" s="35"/>
      <c r="H64" s="35"/>
      <c r="I64" s="35"/>
      <c r="J64" s="35"/>
    </row>
    <row r="65" spans="1:10">
      <c r="A65" s="34">
        <v>46224</v>
      </c>
      <c r="B65" s="35" t="s">
        <v>536</v>
      </c>
      <c r="C65" s="35" t="s">
        <v>557</v>
      </c>
      <c r="D65" s="35">
        <v>1</v>
      </c>
      <c r="E65" s="35" t="s">
        <v>534</v>
      </c>
      <c r="F65" s="35" t="s">
        <v>208</v>
      </c>
      <c r="G65" s="35"/>
      <c r="H65" s="35"/>
      <c r="I65" s="35"/>
      <c r="J65" s="35"/>
    </row>
    <row r="66" spans="1:10">
      <c r="A66" s="34">
        <v>46224</v>
      </c>
      <c r="B66" s="35" t="s">
        <v>536</v>
      </c>
      <c r="C66" s="35" t="s">
        <v>558</v>
      </c>
      <c r="D66" s="35">
        <v>12</v>
      </c>
      <c r="E66" s="35" t="s">
        <v>534</v>
      </c>
      <c r="F66" s="35" t="s">
        <v>208</v>
      </c>
      <c r="G66" s="35"/>
      <c r="H66" s="35"/>
      <c r="I66" s="35"/>
      <c r="J66" s="35" t="s">
        <v>559</v>
      </c>
    </row>
    <row r="67" spans="1:10">
      <c r="A67" s="34">
        <v>46225</v>
      </c>
      <c r="B67" s="35" t="s">
        <v>536</v>
      </c>
      <c r="C67" s="35" t="s">
        <v>560</v>
      </c>
      <c r="D67" s="35">
        <v>2</v>
      </c>
      <c r="E67" s="35" t="s">
        <v>534</v>
      </c>
      <c r="F67" s="35" t="s">
        <v>208</v>
      </c>
      <c r="G67" s="35"/>
      <c r="H67" s="35"/>
      <c r="I67" s="35"/>
      <c r="J67" s="35"/>
    </row>
    <row r="68" spans="1:10">
      <c r="A68" s="34">
        <v>46227</v>
      </c>
      <c r="B68" s="35" t="s">
        <v>536</v>
      </c>
      <c r="C68" s="35" t="s">
        <v>561</v>
      </c>
      <c r="D68" s="35">
        <v>1</v>
      </c>
      <c r="E68" s="35" t="s">
        <v>534</v>
      </c>
      <c r="F68" s="35" t="s">
        <v>208</v>
      </c>
      <c r="G68" s="35"/>
      <c r="H68" s="35"/>
      <c r="I68" s="35"/>
      <c r="J68" s="35"/>
    </row>
    <row r="69" spans="1:10">
      <c r="A69" s="34">
        <v>46229</v>
      </c>
      <c r="B69" s="35" t="s">
        <v>150</v>
      </c>
      <c r="C69" s="35" t="s">
        <v>562</v>
      </c>
      <c r="D69" s="35">
        <v>1</v>
      </c>
      <c r="E69" s="35" t="s">
        <v>534</v>
      </c>
      <c r="F69" s="35" t="s">
        <v>208</v>
      </c>
      <c r="G69" s="35"/>
      <c r="H69" s="35"/>
      <c r="I69" s="35"/>
      <c r="J69" s="35" t="s">
        <v>563</v>
      </c>
    </row>
    <row r="70" spans="1:10">
      <c r="A70" s="34">
        <v>46229</v>
      </c>
      <c r="B70" s="35" t="s">
        <v>536</v>
      </c>
      <c r="C70" s="35" t="s">
        <v>564</v>
      </c>
      <c r="D70" s="35">
        <v>1</v>
      </c>
      <c r="E70" s="35" t="s">
        <v>534</v>
      </c>
      <c r="F70" s="35" t="s">
        <v>208</v>
      </c>
      <c r="G70" s="35"/>
      <c r="H70" s="35"/>
      <c r="I70" s="35"/>
      <c r="J70" s="35"/>
    </row>
    <row r="71" spans="1:10">
      <c r="A71" s="34">
        <v>46229</v>
      </c>
      <c r="B71" s="35" t="s">
        <v>536</v>
      </c>
      <c r="C71" s="35" t="s">
        <v>565</v>
      </c>
      <c r="D71" s="35">
        <v>1</v>
      </c>
      <c r="E71" s="35" t="s">
        <v>534</v>
      </c>
      <c r="F71" s="35" t="s">
        <v>208</v>
      </c>
      <c r="G71" s="35"/>
      <c r="H71" s="35"/>
      <c r="I71" s="35"/>
      <c r="J71" s="35"/>
    </row>
    <row r="72" spans="1:10">
      <c r="A72" s="34">
        <v>46231</v>
      </c>
      <c r="B72" s="35" t="s">
        <v>536</v>
      </c>
      <c r="C72" s="35" t="s">
        <v>566</v>
      </c>
      <c r="D72" s="35">
        <v>2</v>
      </c>
      <c r="E72" s="35" t="s">
        <v>534</v>
      </c>
      <c r="F72" s="35" t="s">
        <v>208</v>
      </c>
      <c r="G72" s="35"/>
      <c r="H72" s="35"/>
      <c r="I72" s="35"/>
      <c r="J72" s="35"/>
    </row>
    <row r="73" spans="1:10">
      <c r="A73" s="34">
        <v>46234</v>
      </c>
      <c r="B73" s="35" t="s">
        <v>536</v>
      </c>
      <c r="C73" s="35" t="s">
        <v>567</v>
      </c>
      <c r="D73" s="35">
        <v>1</v>
      </c>
      <c r="E73" s="35" t="s">
        <v>534</v>
      </c>
      <c r="F73" s="35" t="s">
        <v>208</v>
      </c>
      <c r="G73" s="35"/>
      <c r="H73" s="35"/>
      <c r="I73" s="35"/>
      <c r="J73" s="35"/>
    </row>
    <row r="74" spans="1:10">
      <c r="A74" s="34">
        <v>46235</v>
      </c>
      <c r="B74" s="35" t="s">
        <v>536</v>
      </c>
      <c r="C74" s="35" t="s">
        <v>568</v>
      </c>
      <c r="D74" s="35">
        <v>2</v>
      </c>
      <c r="E74" s="35" t="s">
        <v>534</v>
      </c>
      <c r="F74" s="35" t="s">
        <v>208</v>
      </c>
      <c r="G74" s="35"/>
      <c r="H74" s="35"/>
      <c r="I74" s="35"/>
      <c r="J74" s="35"/>
    </row>
    <row r="75" spans="1:10">
      <c r="A75" s="34">
        <v>46236</v>
      </c>
      <c r="B75" s="35" t="s">
        <v>536</v>
      </c>
      <c r="C75" s="35" t="s">
        <v>569</v>
      </c>
      <c r="D75" s="35">
        <v>1</v>
      </c>
      <c r="E75" s="35" t="s">
        <v>534</v>
      </c>
      <c r="F75" s="35" t="s">
        <v>208</v>
      </c>
      <c r="G75" s="35"/>
      <c r="H75" s="35"/>
      <c r="I75" s="35"/>
      <c r="J75" s="35"/>
    </row>
    <row r="76" spans="1:10">
      <c r="A76" s="34">
        <v>46237</v>
      </c>
      <c r="B76" s="35" t="s">
        <v>536</v>
      </c>
      <c r="C76" s="35" t="s">
        <v>570</v>
      </c>
      <c r="D76" s="35">
        <v>2</v>
      </c>
      <c r="E76" s="35" t="s">
        <v>534</v>
      </c>
      <c r="F76" s="35" t="s">
        <v>208</v>
      </c>
      <c r="G76" s="35"/>
      <c r="H76" s="35"/>
      <c r="I76" s="35"/>
      <c r="J76" s="35"/>
    </row>
    <row r="77" spans="1:10">
      <c r="A77" s="34">
        <v>46237</v>
      </c>
      <c r="B77" s="35" t="s">
        <v>536</v>
      </c>
      <c r="C77" s="35" t="s">
        <v>571</v>
      </c>
      <c r="D77" s="35">
        <v>1</v>
      </c>
      <c r="E77" s="35" t="s">
        <v>534</v>
      </c>
      <c r="F77" s="35" t="s">
        <v>208</v>
      </c>
      <c r="G77" s="35"/>
      <c r="H77" s="35"/>
      <c r="I77" s="35"/>
      <c r="J77" s="35"/>
    </row>
    <row r="78" spans="1:10">
      <c r="A78" s="34">
        <v>46237</v>
      </c>
      <c r="B78" s="35" t="s">
        <v>536</v>
      </c>
      <c r="C78" s="35" t="s">
        <v>572</v>
      </c>
      <c r="D78" s="35">
        <v>2</v>
      </c>
      <c r="E78" s="35" t="s">
        <v>534</v>
      </c>
      <c r="F78" s="35" t="s">
        <v>208</v>
      </c>
      <c r="G78" s="35"/>
      <c r="H78" s="35"/>
      <c r="I78" s="35"/>
      <c r="J78" s="35"/>
    </row>
    <row r="79" spans="1:10">
      <c r="A79" s="34">
        <v>46238</v>
      </c>
      <c r="B79" s="35" t="s">
        <v>536</v>
      </c>
      <c r="C79" s="35" t="s">
        <v>573</v>
      </c>
      <c r="D79" s="35">
        <v>1</v>
      </c>
      <c r="E79" s="35" t="s">
        <v>534</v>
      </c>
      <c r="F79" s="35" t="s">
        <v>208</v>
      </c>
      <c r="G79" s="35"/>
      <c r="H79" s="35"/>
      <c r="I79" s="35"/>
      <c r="J79" s="35"/>
    </row>
    <row r="80" spans="1:10">
      <c r="A80" s="34">
        <v>46239</v>
      </c>
      <c r="B80" s="35" t="s">
        <v>536</v>
      </c>
      <c r="C80" s="35" t="s">
        <v>574</v>
      </c>
      <c r="D80" s="35">
        <v>1</v>
      </c>
      <c r="E80" s="35" t="s">
        <v>534</v>
      </c>
      <c r="F80" s="35" t="s">
        <v>208</v>
      </c>
      <c r="G80" s="35"/>
      <c r="H80" s="35"/>
      <c r="I80" s="35"/>
      <c r="J80" s="35"/>
    </row>
    <row r="81" spans="1:10">
      <c r="A81" s="34">
        <v>46239</v>
      </c>
      <c r="B81" s="35" t="s">
        <v>536</v>
      </c>
      <c r="C81" s="35" t="s">
        <v>575</v>
      </c>
      <c r="D81" s="35">
        <v>1</v>
      </c>
      <c r="E81" s="35" t="s">
        <v>534</v>
      </c>
      <c r="F81" s="35" t="s">
        <v>208</v>
      </c>
      <c r="G81" s="35"/>
      <c r="H81" s="35"/>
      <c r="I81" s="35"/>
      <c r="J81" s="35"/>
    </row>
    <row r="82" spans="1:10">
      <c r="A82" s="34">
        <v>46240</v>
      </c>
      <c r="B82" s="35" t="s">
        <v>536</v>
      </c>
      <c r="C82" s="35" t="s">
        <v>576</v>
      </c>
      <c r="D82" s="35">
        <v>1</v>
      </c>
      <c r="E82" s="35" t="s">
        <v>534</v>
      </c>
      <c r="F82" s="35" t="s">
        <v>208</v>
      </c>
      <c r="G82" s="35"/>
      <c r="H82" s="35"/>
      <c r="I82" s="35"/>
      <c r="J82" s="35"/>
    </row>
    <row r="83" spans="1:10">
      <c r="A83" s="34">
        <v>46241</v>
      </c>
      <c r="B83" s="35" t="s">
        <v>536</v>
      </c>
      <c r="C83" s="35" t="s">
        <v>577</v>
      </c>
      <c r="D83" s="35">
        <v>1</v>
      </c>
      <c r="E83" s="35" t="s">
        <v>534</v>
      </c>
      <c r="F83" s="35" t="s">
        <v>208</v>
      </c>
      <c r="G83" s="35"/>
      <c r="H83" s="35"/>
      <c r="I83" s="35"/>
      <c r="J83" s="35"/>
    </row>
    <row r="84" spans="1:10">
      <c r="A84" s="34">
        <v>46241</v>
      </c>
      <c r="B84" s="35" t="s">
        <v>536</v>
      </c>
      <c r="C84" s="35" t="s">
        <v>578</v>
      </c>
      <c r="D84" s="35">
        <v>1</v>
      </c>
      <c r="E84" s="35" t="s">
        <v>534</v>
      </c>
      <c r="F84" s="35" t="s">
        <v>208</v>
      </c>
      <c r="G84" s="35"/>
      <c r="H84" s="35"/>
      <c r="I84" s="35"/>
      <c r="J84" s="35"/>
    </row>
    <row r="85" spans="1:10">
      <c r="A85" s="34">
        <v>46242</v>
      </c>
      <c r="B85" s="35" t="s">
        <v>150</v>
      </c>
      <c r="C85" s="35" t="s">
        <v>579</v>
      </c>
      <c r="D85" s="35">
        <v>1</v>
      </c>
      <c r="E85" s="35" t="s">
        <v>534</v>
      </c>
      <c r="F85" s="35" t="s">
        <v>208</v>
      </c>
      <c r="G85" s="35"/>
      <c r="H85" s="35"/>
      <c r="I85" s="35"/>
      <c r="J85" s="35" t="s">
        <v>563</v>
      </c>
    </row>
    <row r="86" spans="1:10">
      <c r="A86" s="34">
        <v>46242</v>
      </c>
      <c r="B86" s="35" t="s">
        <v>150</v>
      </c>
      <c r="C86" s="35" t="s">
        <v>579</v>
      </c>
      <c r="D86" s="35">
        <v>1</v>
      </c>
      <c r="E86" s="35" t="s">
        <v>534</v>
      </c>
      <c r="F86" s="35" t="s">
        <v>183</v>
      </c>
      <c r="G86" s="35"/>
      <c r="H86" s="35"/>
      <c r="I86" s="35"/>
      <c r="J86" s="35" t="s">
        <v>580</v>
      </c>
    </row>
    <row r="87" spans="1:10">
      <c r="A87" s="34">
        <v>46243</v>
      </c>
      <c r="B87" s="35" t="s">
        <v>536</v>
      </c>
      <c r="C87" s="35" t="s">
        <v>581</v>
      </c>
      <c r="D87" s="35">
        <v>2</v>
      </c>
      <c r="E87" s="35" t="s">
        <v>534</v>
      </c>
      <c r="F87" s="35" t="s">
        <v>208</v>
      </c>
      <c r="G87" s="35"/>
      <c r="H87" s="35"/>
      <c r="I87" s="35"/>
      <c r="J87" s="35"/>
    </row>
    <row r="88" spans="1:10">
      <c r="A88" s="34">
        <v>46243</v>
      </c>
      <c r="B88" s="35" t="s">
        <v>536</v>
      </c>
      <c r="C88" s="35" t="s">
        <v>582</v>
      </c>
      <c r="D88" s="35">
        <v>1</v>
      </c>
      <c r="E88" s="35" t="s">
        <v>534</v>
      </c>
      <c r="F88" s="35" t="s">
        <v>208</v>
      </c>
      <c r="G88" s="35"/>
      <c r="H88" s="35"/>
      <c r="I88" s="35"/>
      <c r="J88" s="35"/>
    </row>
    <row r="89" spans="1:10">
      <c r="A89" s="34">
        <v>46244</v>
      </c>
      <c r="B89" s="35" t="s">
        <v>536</v>
      </c>
      <c r="C89" s="35" t="s">
        <v>583</v>
      </c>
      <c r="D89" s="35">
        <v>1</v>
      </c>
      <c r="E89" s="35" t="s">
        <v>534</v>
      </c>
      <c r="F89" s="35" t="s">
        <v>208</v>
      </c>
      <c r="G89" s="35"/>
      <c r="H89" s="35"/>
      <c r="I89" s="35"/>
      <c r="J89" s="35"/>
    </row>
    <row r="90" spans="1:10">
      <c r="A90" s="34">
        <v>46245</v>
      </c>
      <c r="B90" s="35" t="s">
        <v>536</v>
      </c>
      <c r="C90" s="35" t="s">
        <v>584</v>
      </c>
      <c r="D90" s="35">
        <v>1</v>
      </c>
      <c r="E90" s="35" t="s">
        <v>534</v>
      </c>
      <c r="F90" s="35" t="s">
        <v>208</v>
      </c>
      <c r="G90" s="35"/>
      <c r="H90" s="35"/>
      <c r="I90" s="35"/>
      <c r="J90" s="35"/>
    </row>
    <row r="91" spans="1:10">
      <c r="A91" s="34">
        <v>46253</v>
      </c>
      <c r="B91" s="35" t="s">
        <v>149</v>
      </c>
      <c r="C91" s="35" t="s">
        <v>585</v>
      </c>
      <c r="D91" s="35">
        <v>5</v>
      </c>
      <c r="E91" s="35" t="s">
        <v>545</v>
      </c>
      <c r="F91" s="35" t="s">
        <v>208</v>
      </c>
      <c r="G91" s="35">
        <v>6750</v>
      </c>
      <c r="H91" s="35"/>
      <c r="I91" s="35"/>
      <c r="J91" s="35" t="s">
        <v>586</v>
      </c>
    </row>
    <row r="92" spans="1:10">
      <c r="A92" s="34">
        <v>46254</v>
      </c>
      <c r="B92" s="35" t="s">
        <v>153</v>
      </c>
      <c r="C92" s="35" t="s">
        <v>585</v>
      </c>
      <c r="D92" s="35">
        <v>1</v>
      </c>
      <c r="E92" s="35" t="s">
        <v>534</v>
      </c>
      <c r="F92" s="35" t="s">
        <v>183</v>
      </c>
      <c r="G92" s="35"/>
      <c r="H92" s="35"/>
      <c r="I92" s="35"/>
      <c r="J92" s="35" t="s">
        <v>587</v>
      </c>
    </row>
    <row r="93" spans="1:10">
      <c r="A93" s="34">
        <v>46258</v>
      </c>
      <c r="B93" s="35" t="s">
        <v>536</v>
      </c>
      <c r="C93" s="35" t="s">
        <v>588</v>
      </c>
      <c r="D93" s="35">
        <v>2</v>
      </c>
      <c r="E93" s="35" t="s">
        <v>534</v>
      </c>
      <c r="F93" s="35" t="s">
        <v>208</v>
      </c>
      <c r="G93" s="35"/>
      <c r="H93" s="35"/>
      <c r="I93" s="35"/>
      <c r="J93" s="35"/>
    </row>
    <row r="94" spans="1:10">
      <c r="A94" s="34">
        <v>46263</v>
      </c>
      <c r="B94" s="35" t="s">
        <v>536</v>
      </c>
      <c r="C94" s="35" t="s">
        <v>589</v>
      </c>
      <c r="D94" s="35">
        <v>1</v>
      </c>
      <c r="E94" s="35" t="s">
        <v>534</v>
      </c>
      <c r="F94" s="35" t="s">
        <v>208</v>
      </c>
      <c r="G94" s="35"/>
      <c r="H94" s="35"/>
      <c r="I94" s="35"/>
      <c r="J94" s="35"/>
    </row>
    <row r="95" spans="1:10">
      <c r="A95" s="34">
        <v>46264</v>
      </c>
      <c r="B95" s="35" t="s">
        <v>536</v>
      </c>
      <c r="C95" s="35" t="s">
        <v>590</v>
      </c>
      <c r="D95" s="35">
        <v>1</v>
      </c>
      <c r="E95" s="35" t="s">
        <v>534</v>
      </c>
      <c r="F95" s="35" t="s">
        <v>208</v>
      </c>
      <c r="G95" s="35"/>
      <c r="H95" s="35"/>
      <c r="I95" s="35"/>
      <c r="J95" s="35"/>
    </row>
    <row r="96" spans="1:10">
      <c r="A96" s="34">
        <v>46266</v>
      </c>
      <c r="B96" s="35" t="s">
        <v>536</v>
      </c>
      <c r="C96" s="35" t="s">
        <v>591</v>
      </c>
      <c r="D96" s="35">
        <v>1</v>
      </c>
      <c r="E96" s="35" t="s">
        <v>534</v>
      </c>
      <c r="F96" s="35" t="s">
        <v>208</v>
      </c>
      <c r="G96" s="35"/>
      <c r="H96" s="35"/>
      <c r="I96" s="35"/>
      <c r="J96" s="35"/>
    </row>
    <row r="97" spans="1:10">
      <c r="A97" s="34">
        <v>46267</v>
      </c>
      <c r="B97" s="35" t="s">
        <v>536</v>
      </c>
      <c r="C97" s="35" t="s">
        <v>592</v>
      </c>
      <c r="D97" s="35">
        <v>1</v>
      </c>
      <c r="E97" s="35" t="s">
        <v>534</v>
      </c>
      <c r="F97" s="35" t="s">
        <v>208</v>
      </c>
      <c r="G97" s="35"/>
      <c r="H97" s="35"/>
      <c r="I97" s="35"/>
      <c r="J97" s="35"/>
    </row>
    <row r="98" spans="1:10">
      <c r="A98" s="34">
        <v>46267</v>
      </c>
      <c r="B98" s="35" t="s">
        <v>536</v>
      </c>
      <c r="C98" s="35" t="s">
        <v>593</v>
      </c>
      <c r="D98" s="35">
        <v>2</v>
      </c>
      <c r="E98" s="35" t="s">
        <v>534</v>
      </c>
      <c r="F98" s="35" t="s">
        <v>208</v>
      </c>
      <c r="G98" s="35"/>
      <c r="H98" s="35"/>
      <c r="I98" s="35"/>
      <c r="J98" s="35"/>
    </row>
    <row r="99" spans="1:10">
      <c r="A99" s="34">
        <v>46269</v>
      </c>
      <c r="B99" s="35" t="s">
        <v>536</v>
      </c>
      <c r="C99" s="35" t="s">
        <v>594</v>
      </c>
      <c r="D99" s="35">
        <v>2</v>
      </c>
      <c r="E99" s="35" t="s">
        <v>534</v>
      </c>
      <c r="F99" s="35" t="s">
        <v>208</v>
      </c>
      <c r="G99" s="35"/>
      <c r="H99" s="35"/>
      <c r="I99" s="35"/>
      <c r="J99" s="35"/>
    </row>
    <row r="100" spans="1:10">
      <c r="A100" s="34">
        <v>46271</v>
      </c>
      <c r="B100" s="35" t="s">
        <v>536</v>
      </c>
      <c r="C100" s="35" t="s">
        <v>595</v>
      </c>
      <c r="D100" s="35">
        <v>1</v>
      </c>
      <c r="E100" s="35" t="s">
        <v>534</v>
      </c>
      <c r="F100" s="35" t="s">
        <v>208</v>
      </c>
      <c r="G100" s="35"/>
      <c r="H100" s="35"/>
      <c r="I100" s="35"/>
      <c r="J100" s="35"/>
    </row>
    <row r="101" spans="1:10">
      <c r="A101" s="34">
        <v>46272</v>
      </c>
      <c r="B101" s="35" t="s">
        <v>536</v>
      </c>
      <c r="C101" s="35" t="s">
        <v>596</v>
      </c>
      <c r="D101" s="35">
        <v>1</v>
      </c>
      <c r="E101" s="35" t="s">
        <v>534</v>
      </c>
      <c r="F101" s="35" t="s">
        <v>208</v>
      </c>
      <c r="G101" s="35"/>
      <c r="H101" s="35"/>
      <c r="I101" s="35"/>
      <c r="J101" s="35"/>
    </row>
    <row r="102" spans="1:10">
      <c r="A102" s="34">
        <v>46273</v>
      </c>
      <c r="B102" s="35" t="s">
        <v>536</v>
      </c>
      <c r="C102" s="35" t="s">
        <v>597</v>
      </c>
      <c r="D102" s="35">
        <v>2</v>
      </c>
      <c r="E102" s="35" t="s">
        <v>534</v>
      </c>
      <c r="F102" s="35" t="s">
        <v>208</v>
      </c>
      <c r="G102" s="35"/>
      <c r="H102" s="35"/>
      <c r="I102" s="35"/>
      <c r="J102" s="35"/>
    </row>
    <row r="103" spans="1:10">
      <c r="A103" s="34">
        <v>46278</v>
      </c>
      <c r="B103" s="35" t="s">
        <v>536</v>
      </c>
      <c r="C103" s="35" t="s">
        <v>598</v>
      </c>
      <c r="D103" s="35">
        <v>2</v>
      </c>
      <c r="E103" s="35" t="s">
        <v>534</v>
      </c>
      <c r="F103" s="35" t="s">
        <v>208</v>
      </c>
      <c r="G103" s="35"/>
      <c r="H103" s="35"/>
      <c r="I103" s="35"/>
      <c r="J103" s="35"/>
    </row>
    <row r="104" spans="1:10">
      <c r="A104" s="34">
        <v>46279</v>
      </c>
      <c r="B104" s="35" t="s">
        <v>536</v>
      </c>
      <c r="C104" s="35" t="s">
        <v>599</v>
      </c>
      <c r="D104" s="35">
        <v>1</v>
      </c>
      <c r="E104" s="35" t="s">
        <v>534</v>
      </c>
      <c r="F104" s="35" t="s">
        <v>208</v>
      </c>
      <c r="G104" s="35"/>
      <c r="H104" s="35"/>
      <c r="I104" s="35"/>
      <c r="J104" s="35"/>
    </row>
    <row r="105" spans="1:10">
      <c r="A105" s="34">
        <v>46280</v>
      </c>
      <c r="B105" s="35" t="s">
        <v>536</v>
      </c>
      <c r="C105" s="35" t="s">
        <v>600</v>
      </c>
      <c r="D105" s="35">
        <v>1</v>
      </c>
      <c r="E105" s="35" t="s">
        <v>534</v>
      </c>
      <c r="F105" s="35" t="s">
        <v>208</v>
      </c>
      <c r="G105" s="35"/>
      <c r="H105" s="35"/>
      <c r="I105" s="35"/>
      <c r="J105" s="35"/>
    </row>
    <row r="106" spans="1:10">
      <c r="A106" s="34">
        <v>46280</v>
      </c>
      <c r="B106" s="35" t="s">
        <v>536</v>
      </c>
      <c r="C106" s="35" t="s">
        <v>601</v>
      </c>
      <c r="D106" s="35">
        <v>2</v>
      </c>
      <c r="E106" s="35" t="s">
        <v>534</v>
      </c>
      <c r="F106" s="35" t="s">
        <v>208</v>
      </c>
      <c r="G106" s="35"/>
      <c r="H106" s="35"/>
      <c r="I106" s="35"/>
      <c r="J106" s="35"/>
    </row>
    <row r="107" spans="1:10">
      <c r="A107" s="34">
        <v>46281</v>
      </c>
      <c r="B107" s="35" t="s">
        <v>536</v>
      </c>
      <c r="C107" s="35" t="s">
        <v>602</v>
      </c>
      <c r="D107" s="35">
        <v>1</v>
      </c>
      <c r="E107" s="35" t="s">
        <v>534</v>
      </c>
      <c r="F107" s="35" t="s">
        <v>208</v>
      </c>
      <c r="G107" s="35"/>
      <c r="H107" s="35"/>
      <c r="I107" s="35"/>
      <c r="J107" s="35"/>
    </row>
    <row r="108" spans="1:10">
      <c r="A108" s="34">
        <v>46281</v>
      </c>
      <c r="B108" s="35" t="s">
        <v>536</v>
      </c>
      <c r="C108" s="35" t="s">
        <v>602</v>
      </c>
      <c r="D108" s="35">
        <v>1</v>
      </c>
      <c r="E108" s="35" t="s">
        <v>534</v>
      </c>
      <c r="F108" s="35" t="s">
        <v>208</v>
      </c>
      <c r="G108" s="35"/>
      <c r="H108" s="35" t="s">
        <v>603</v>
      </c>
      <c r="I108" s="35"/>
      <c r="J108" s="35"/>
    </row>
    <row r="109" spans="1:10">
      <c r="A109" s="34">
        <v>46282</v>
      </c>
      <c r="B109" s="35" t="s">
        <v>536</v>
      </c>
      <c r="C109" s="35" t="s">
        <v>604</v>
      </c>
      <c r="D109" s="35">
        <v>1</v>
      </c>
      <c r="E109" s="35" t="s">
        <v>534</v>
      </c>
      <c r="F109" s="35" t="s">
        <v>208</v>
      </c>
      <c r="G109" s="35"/>
      <c r="H109" s="35"/>
      <c r="I109" s="35"/>
      <c r="J109" s="35"/>
    </row>
    <row r="110" spans="1:10">
      <c r="A110" s="34">
        <v>46282</v>
      </c>
      <c r="B110" s="35" t="s">
        <v>536</v>
      </c>
      <c r="C110" s="35" t="s">
        <v>605</v>
      </c>
      <c r="D110" s="35">
        <v>2</v>
      </c>
      <c r="E110" s="35" t="s">
        <v>534</v>
      </c>
      <c r="F110" s="35" t="s">
        <v>208</v>
      </c>
      <c r="G110" s="35"/>
      <c r="H110" s="35"/>
      <c r="I110" s="35"/>
      <c r="J110" s="35"/>
    </row>
    <row r="111" spans="1:10">
      <c r="A111" s="34">
        <v>46283</v>
      </c>
      <c r="B111" s="35" t="s">
        <v>536</v>
      </c>
      <c r="C111" s="35" t="s">
        <v>606</v>
      </c>
      <c r="D111" s="35">
        <v>1</v>
      </c>
      <c r="E111" s="35" t="s">
        <v>534</v>
      </c>
      <c r="F111" s="35" t="s">
        <v>208</v>
      </c>
      <c r="G111" s="35"/>
      <c r="H111" s="35"/>
      <c r="I111" s="35"/>
      <c r="J111" s="35"/>
    </row>
    <row r="112" spans="1:10">
      <c r="A112" s="34">
        <v>46284</v>
      </c>
      <c r="B112" s="35" t="s">
        <v>536</v>
      </c>
      <c r="C112" s="35" t="s">
        <v>607</v>
      </c>
      <c r="D112" s="35">
        <v>1</v>
      </c>
      <c r="E112" s="35" t="s">
        <v>534</v>
      </c>
      <c r="F112" s="35" t="s">
        <v>208</v>
      </c>
      <c r="G112" s="35"/>
      <c r="H112" s="35"/>
      <c r="I112" s="35"/>
      <c r="J112" s="35"/>
    </row>
    <row r="113" spans="1:10">
      <c r="A113" s="34">
        <v>46285</v>
      </c>
      <c r="B113" s="35" t="s">
        <v>536</v>
      </c>
      <c r="C113" s="35" t="s">
        <v>608</v>
      </c>
      <c r="D113" s="35">
        <v>1</v>
      </c>
      <c r="E113" s="35" t="s">
        <v>534</v>
      </c>
      <c r="F113" s="35" t="s">
        <v>208</v>
      </c>
      <c r="G113" s="35"/>
      <c r="H113" s="35"/>
      <c r="I113" s="35"/>
      <c r="J113" s="35"/>
    </row>
    <row r="114" spans="1:10">
      <c r="A114" s="34">
        <v>46286</v>
      </c>
      <c r="B114" s="35" t="s">
        <v>536</v>
      </c>
      <c r="C114" s="35" t="s">
        <v>609</v>
      </c>
      <c r="D114" s="35">
        <v>1</v>
      </c>
      <c r="E114" s="35" t="s">
        <v>534</v>
      </c>
      <c r="F114" s="35" t="s">
        <v>208</v>
      </c>
      <c r="G114" s="35"/>
      <c r="H114" s="35"/>
      <c r="I114" s="35"/>
      <c r="J114" s="35"/>
    </row>
    <row r="115" spans="1:10">
      <c r="A115" s="34">
        <v>46289</v>
      </c>
      <c r="B115" s="35" t="s">
        <v>536</v>
      </c>
      <c r="C115" s="35" t="s">
        <v>610</v>
      </c>
      <c r="D115" s="35">
        <v>1</v>
      </c>
      <c r="E115" s="35" t="s">
        <v>534</v>
      </c>
      <c r="F115" s="35" t="s">
        <v>208</v>
      </c>
      <c r="G115" s="35"/>
      <c r="H115" s="35"/>
      <c r="I115" s="35"/>
      <c r="J115" s="35"/>
    </row>
    <row r="116" spans="1:10">
      <c r="A116" s="34">
        <v>46293</v>
      </c>
      <c r="B116" s="35" t="s">
        <v>150</v>
      </c>
      <c r="C116" s="35" t="s">
        <v>611</v>
      </c>
      <c r="D116" s="35">
        <v>3</v>
      </c>
      <c r="E116" s="35" t="s">
        <v>534</v>
      </c>
      <c r="F116" s="35" t="s">
        <v>182</v>
      </c>
      <c r="G116" s="35"/>
      <c r="H116" s="35"/>
      <c r="I116" s="35"/>
      <c r="J116" s="35" t="s">
        <v>612</v>
      </c>
    </row>
    <row r="117" spans="1:10">
      <c r="A117" s="34">
        <v>46293</v>
      </c>
      <c r="B117" s="35" t="s">
        <v>536</v>
      </c>
      <c r="C117" s="35" t="s">
        <v>613</v>
      </c>
      <c r="D117" s="35">
        <v>1</v>
      </c>
      <c r="E117" s="35" t="s">
        <v>534</v>
      </c>
      <c r="F117" s="35" t="s">
        <v>208</v>
      </c>
      <c r="G117" s="35"/>
      <c r="H117" s="35"/>
      <c r="I117" s="35"/>
      <c r="J117" s="35"/>
    </row>
    <row r="118" spans="1:10">
      <c r="A118" s="34">
        <v>46293</v>
      </c>
      <c r="B118" s="35" t="s">
        <v>536</v>
      </c>
      <c r="C118" s="35" t="s">
        <v>614</v>
      </c>
      <c r="D118" s="35">
        <v>1</v>
      </c>
      <c r="E118" s="35" t="s">
        <v>534</v>
      </c>
      <c r="F118" s="35" t="s">
        <v>208</v>
      </c>
      <c r="G118" s="35"/>
      <c r="H118" s="35"/>
      <c r="I118" s="35"/>
      <c r="J118" s="35"/>
    </row>
    <row r="119" spans="1:10">
      <c r="A119" s="34">
        <v>46294</v>
      </c>
      <c r="B119" s="35" t="s">
        <v>536</v>
      </c>
      <c r="C119" s="35" t="s">
        <v>615</v>
      </c>
      <c r="D119" s="35">
        <v>1</v>
      </c>
      <c r="E119" s="35" t="s">
        <v>534</v>
      </c>
      <c r="F119" s="35" t="s">
        <v>208</v>
      </c>
      <c r="G119" s="35"/>
      <c r="H119" s="35"/>
      <c r="I119" s="35"/>
      <c r="J119" s="35"/>
    </row>
    <row r="120" spans="1:10">
      <c r="A120" s="34">
        <v>46294</v>
      </c>
      <c r="B120" s="35" t="s">
        <v>536</v>
      </c>
      <c r="C120" s="35" t="s">
        <v>616</v>
      </c>
      <c r="D120" s="35">
        <v>1</v>
      </c>
      <c r="E120" s="35" t="s">
        <v>534</v>
      </c>
      <c r="F120" s="35" t="s">
        <v>208</v>
      </c>
      <c r="G120" s="35"/>
      <c r="H120" s="35"/>
      <c r="I120" s="35"/>
      <c r="J120" s="35"/>
    </row>
    <row r="121" spans="1:10">
      <c r="A121" s="34">
        <v>46287</v>
      </c>
      <c r="B121" s="35" t="s">
        <v>536</v>
      </c>
      <c r="C121" s="35" t="s">
        <v>617</v>
      </c>
      <c r="D121" s="35">
        <v>1</v>
      </c>
      <c r="E121" s="35" t="s">
        <v>534</v>
      </c>
      <c r="F121" s="35" t="s">
        <v>208</v>
      </c>
      <c r="G121" s="35"/>
      <c r="H121" s="35"/>
      <c r="I121" s="35" t="s">
        <v>618</v>
      </c>
      <c r="J121" s="35" t="s">
        <v>619</v>
      </c>
    </row>
    <row r="122" spans="1:10">
      <c r="A122" s="34">
        <v>46290</v>
      </c>
      <c r="B122" s="35" t="s">
        <v>536</v>
      </c>
      <c r="C122" s="35" t="s">
        <v>620</v>
      </c>
      <c r="D122" s="35">
        <v>1</v>
      </c>
      <c r="E122" s="35" t="s">
        <v>534</v>
      </c>
      <c r="F122" s="35" t="s">
        <v>208</v>
      </c>
      <c r="G122" s="35"/>
      <c r="H122" s="35"/>
      <c r="I122" s="35" t="s">
        <v>618</v>
      </c>
      <c r="J122" s="35" t="s">
        <v>619</v>
      </c>
    </row>
    <row r="123" spans="1:10">
      <c r="A123" s="34">
        <v>46274</v>
      </c>
      <c r="B123" s="35" t="s">
        <v>153</v>
      </c>
      <c r="C123" s="35" t="s">
        <v>621</v>
      </c>
      <c r="D123" s="35">
        <v>2</v>
      </c>
      <c r="E123" s="35" t="s">
        <v>534</v>
      </c>
      <c r="F123" s="35" t="s">
        <v>183</v>
      </c>
      <c r="G123" s="35"/>
      <c r="H123" s="35"/>
      <c r="I123" s="35" t="s">
        <v>618</v>
      </c>
      <c r="J123" s="35" t="s">
        <v>622</v>
      </c>
    </row>
    <row r="124" spans="1:10">
      <c r="A124" s="34">
        <v>46295</v>
      </c>
      <c r="B124" s="35" t="s">
        <v>154</v>
      </c>
      <c r="C124" s="35" t="s">
        <v>623</v>
      </c>
      <c r="D124" s="35">
        <v>-1</v>
      </c>
      <c r="E124" s="35" t="s">
        <v>534</v>
      </c>
      <c r="F124" s="35" t="s">
        <v>183</v>
      </c>
      <c r="G124" s="35"/>
      <c r="H124" s="35"/>
      <c r="I124" s="35" t="s">
        <v>618</v>
      </c>
      <c r="J124" s="35" t="s">
        <v>624</v>
      </c>
    </row>
    <row r="126" spans="1:10">
      <c r="A126" s="41" t="s">
        <v>625</v>
      </c>
      <c r="B126" s="40"/>
      <c r="C126" s="40"/>
      <c r="D126" s="40"/>
      <c r="E126" s="40"/>
      <c r="F126" s="40"/>
      <c r="G126" s="40"/>
      <c r="H126" s="40"/>
      <c r="I126" s="40"/>
      <c r="J126" s="40"/>
    </row>
    <row r="127" spans="1:10">
      <c r="A127" s="9" t="s">
        <v>114</v>
      </c>
      <c r="B127" s="9" t="s">
        <v>267</v>
      </c>
      <c r="C127" s="9" t="s">
        <v>268</v>
      </c>
      <c r="D127" s="9" t="s">
        <v>257</v>
      </c>
      <c r="E127" s="9"/>
      <c r="F127" s="9"/>
      <c r="G127" s="9"/>
      <c r="H127" s="9"/>
      <c r="I127" s="9"/>
      <c r="J127" s="9" t="s">
        <v>135</v>
      </c>
    </row>
    <row r="128" spans="1:10">
      <c r="A128" s="34">
        <v>46224</v>
      </c>
      <c r="B128" s="35"/>
      <c r="C128" s="35"/>
      <c r="D128" s="35">
        <v>12</v>
      </c>
      <c r="E128" s="35"/>
      <c r="F128" s="35"/>
      <c r="G128" s="35"/>
      <c r="H128" s="35"/>
      <c r="I128" s="35"/>
      <c r="J128" s="35"/>
    </row>
    <row r="129" spans="1:10">
      <c r="A129" s="34">
        <v>46235</v>
      </c>
      <c r="B129" s="35"/>
      <c r="C129" s="35" t="s">
        <v>268</v>
      </c>
      <c r="D129" s="35"/>
      <c r="E129" s="35"/>
      <c r="F129" s="35"/>
      <c r="G129" s="35"/>
      <c r="H129" s="35"/>
      <c r="I129" s="35"/>
      <c r="J129" s="35"/>
    </row>
    <row r="130" spans="1:10">
      <c r="A130" s="34">
        <v>46236</v>
      </c>
      <c r="B130" s="35"/>
      <c r="C130" s="35" t="s">
        <v>268</v>
      </c>
      <c r="D130" s="35"/>
      <c r="E130" s="35"/>
      <c r="F130" s="35"/>
      <c r="G130" s="35"/>
      <c r="H130" s="35"/>
      <c r="I130" s="35"/>
      <c r="J130" s="35"/>
    </row>
    <row r="131" spans="1:10">
      <c r="A131" s="34">
        <v>46237</v>
      </c>
      <c r="B131" s="35"/>
      <c r="C131" s="35" t="s">
        <v>268</v>
      </c>
      <c r="D131" s="35"/>
      <c r="E131" s="35"/>
      <c r="F131" s="35"/>
      <c r="G131" s="35"/>
      <c r="H131" s="35"/>
      <c r="I131" s="35"/>
      <c r="J131" s="35"/>
    </row>
    <row r="132" spans="1:10">
      <c r="A132" s="34">
        <v>46238</v>
      </c>
      <c r="B132" s="35"/>
      <c r="C132" s="35" t="s">
        <v>268</v>
      </c>
      <c r="D132" s="35"/>
      <c r="E132" s="35"/>
      <c r="F132" s="35"/>
      <c r="G132" s="35"/>
      <c r="H132" s="35"/>
      <c r="I132" s="35"/>
      <c r="J132" s="35"/>
    </row>
    <row r="133" spans="1:10">
      <c r="A133" s="34">
        <v>46239</v>
      </c>
      <c r="B133" s="35"/>
      <c r="C133" s="35" t="s">
        <v>268</v>
      </c>
      <c r="D133" s="35"/>
      <c r="E133" s="35"/>
      <c r="F133" s="35"/>
      <c r="G133" s="35"/>
      <c r="H133" s="35"/>
      <c r="I133" s="35"/>
      <c r="J133" s="35"/>
    </row>
    <row r="134" spans="1:10">
      <c r="A134" s="34">
        <v>46240</v>
      </c>
      <c r="B134" s="35"/>
      <c r="C134" s="35" t="s">
        <v>268</v>
      </c>
      <c r="D134" s="35"/>
      <c r="E134" s="35"/>
      <c r="F134" s="35"/>
      <c r="G134" s="35"/>
      <c r="H134" s="35"/>
      <c r="I134" s="35"/>
      <c r="J134" s="35"/>
    </row>
    <row r="135" spans="1:10">
      <c r="A135" s="34">
        <v>46241</v>
      </c>
      <c r="B135" s="35"/>
      <c r="C135" s="35" t="s">
        <v>268</v>
      </c>
      <c r="D135" s="35"/>
      <c r="E135" s="35"/>
      <c r="F135" s="35"/>
      <c r="G135" s="35"/>
      <c r="H135" s="35"/>
      <c r="I135" s="35"/>
      <c r="J135" s="35"/>
    </row>
    <row r="136" spans="1:10">
      <c r="A136" s="34">
        <v>46246</v>
      </c>
      <c r="B136" s="35" t="s">
        <v>626</v>
      </c>
      <c r="C136" s="35"/>
      <c r="D136" s="35"/>
      <c r="E136" s="35"/>
      <c r="F136" s="35"/>
      <c r="G136" s="35"/>
      <c r="H136" s="35"/>
      <c r="I136" s="35"/>
      <c r="J136" s="35"/>
    </row>
    <row r="137" spans="1:10">
      <c r="A137" s="34">
        <v>46247</v>
      </c>
      <c r="B137" s="35" t="s">
        <v>626</v>
      </c>
      <c r="C137" s="35"/>
      <c r="D137" s="35"/>
      <c r="E137" s="35"/>
      <c r="F137" s="35"/>
      <c r="G137" s="35"/>
      <c r="H137" s="35"/>
      <c r="I137" s="35"/>
      <c r="J137" s="35"/>
    </row>
    <row r="138" spans="1:10">
      <c r="A138" s="34">
        <v>46248</v>
      </c>
      <c r="B138" s="35" t="s">
        <v>626</v>
      </c>
      <c r="C138" s="35"/>
      <c r="D138" s="35"/>
      <c r="E138" s="35"/>
      <c r="F138" s="35"/>
      <c r="G138" s="35"/>
      <c r="H138" s="35"/>
      <c r="I138" s="35"/>
      <c r="J138" s="35"/>
    </row>
    <row r="139" spans="1:10">
      <c r="A139" s="34">
        <v>46249</v>
      </c>
      <c r="B139" s="35" t="s">
        <v>626</v>
      </c>
      <c r="C139" s="35"/>
      <c r="D139" s="35"/>
      <c r="E139" s="35"/>
      <c r="F139" s="35"/>
      <c r="G139" s="35"/>
      <c r="H139" s="35"/>
      <c r="I139" s="35"/>
      <c r="J139" s="35"/>
    </row>
    <row r="140" spans="1:10">
      <c r="A140" s="34">
        <v>46250</v>
      </c>
      <c r="B140" s="35" t="s">
        <v>626</v>
      </c>
      <c r="C140" s="35"/>
      <c r="D140" s="35"/>
      <c r="E140" s="35"/>
      <c r="F140" s="35"/>
      <c r="G140" s="35"/>
      <c r="H140" s="35"/>
      <c r="I140" s="35"/>
      <c r="J140" s="35"/>
    </row>
    <row r="141" spans="1:10">
      <c r="A141" s="34">
        <v>46251</v>
      </c>
      <c r="B141" s="35" t="s">
        <v>626</v>
      </c>
      <c r="C141" s="35"/>
      <c r="D141" s="35"/>
      <c r="E141" s="35"/>
      <c r="F141" s="35"/>
      <c r="G141" s="35"/>
      <c r="H141" s="35"/>
      <c r="I141" s="35"/>
      <c r="J141" s="35"/>
    </row>
    <row r="142" spans="1:10">
      <c r="A142" s="34">
        <v>46252</v>
      </c>
      <c r="B142" s="35" t="s">
        <v>626</v>
      </c>
      <c r="C142" s="35"/>
      <c r="D142" s="35"/>
      <c r="E142" s="35"/>
      <c r="F142" s="35"/>
      <c r="G142" s="35"/>
      <c r="H142" s="35"/>
      <c r="I142" s="35"/>
      <c r="J142" s="35"/>
    </row>
    <row r="143" spans="1:10">
      <c r="A143" s="34">
        <v>46253</v>
      </c>
      <c r="B143" s="35" t="s">
        <v>626</v>
      </c>
      <c r="C143" s="35"/>
      <c r="D143" s="35"/>
      <c r="E143" s="35"/>
      <c r="F143" s="35"/>
      <c r="G143" s="35"/>
      <c r="H143" s="35"/>
      <c r="I143" s="35"/>
      <c r="J143" s="35"/>
    </row>
    <row r="144" spans="1:10">
      <c r="A144" s="34">
        <v>46275</v>
      </c>
      <c r="B144" s="35" t="s">
        <v>627</v>
      </c>
      <c r="C144" s="35"/>
      <c r="D144" s="35"/>
      <c r="E144" s="35"/>
      <c r="F144" s="35"/>
      <c r="G144" s="35"/>
      <c r="H144" s="35"/>
      <c r="I144" s="35"/>
      <c r="J144" s="35"/>
    </row>
    <row r="145" spans="1:10">
      <c r="A145" s="34">
        <v>46276</v>
      </c>
      <c r="B145" s="35" t="s">
        <v>627</v>
      </c>
      <c r="C145" s="35"/>
      <c r="D145" s="35"/>
      <c r="E145" s="35"/>
      <c r="F145" s="35"/>
      <c r="G145" s="35"/>
      <c r="H145" s="35"/>
      <c r="I145" s="35"/>
      <c r="J145" s="35"/>
    </row>
    <row r="147" spans="1:10">
      <c r="A147" s="41" t="s">
        <v>628</v>
      </c>
      <c r="B147" s="40"/>
      <c r="C147" s="40"/>
      <c r="D147" s="40"/>
      <c r="E147" s="40"/>
      <c r="F147" s="40"/>
      <c r="G147" s="40"/>
      <c r="H147" s="40"/>
      <c r="I147" s="40"/>
      <c r="J147" s="40"/>
    </row>
    <row r="148" spans="1:10">
      <c r="A148" s="9" t="s">
        <v>142</v>
      </c>
      <c r="B148" s="9" t="s">
        <v>436</v>
      </c>
    </row>
    <row r="149" spans="1:10">
      <c r="A149" s="35" t="s">
        <v>56</v>
      </c>
      <c r="B149" s="35" t="s">
        <v>629</v>
      </c>
    </row>
    <row r="150" spans="1:10">
      <c r="A150" s="35" t="s">
        <v>58</v>
      </c>
      <c r="B150" s="35" t="s">
        <v>630</v>
      </c>
    </row>
    <row r="151" spans="1:10">
      <c r="A151" s="35" t="s">
        <v>60</v>
      </c>
      <c r="B151" s="35" t="s">
        <v>631</v>
      </c>
    </row>
    <row r="152" spans="1:10">
      <c r="A152" s="35" t="s">
        <v>62</v>
      </c>
      <c r="B152" s="35">
        <v>10</v>
      </c>
    </row>
    <row r="153" spans="1:10">
      <c r="A153" s="35" t="s">
        <v>64</v>
      </c>
      <c r="B153" s="35" t="s">
        <v>545</v>
      </c>
    </row>
    <row r="154" spans="1:10">
      <c r="A154" s="35" t="s">
        <v>632</v>
      </c>
      <c r="B154" s="35">
        <v>12</v>
      </c>
    </row>
    <row r="155" spans="1:10">
      <c r="A155" s="35" t="s">
        <v>68</v>
      </c>
      <c r="B155" s="35" t="s">
        <v>534</v>
      </c>
    </row>
    <row r="156" spans="1:10">
      <c r="A156" s="35" t="s">
        <v>70</v>
      </c>
      <c r="B156" s="35" t="s">
        <v>633</v>
      </c>
    </row>
    <row r="157" spans="1:10">
      <c r="A157" s="35" t="s">
        <v>72</v>
      </c>
      <c r="B157" s="34">
        <v>46295</v>
      </c>
    </row>
    <row r="158" spans="1:10">
      <c r="A158" s="35" t="s">
        <v>74</v>
      </c>
      <c r="B158" s="34">
        <v>46204</v>
      </c>
    </row>
    <row r="159" spans="1:10">
      <c r="A159" s="35" t="s">
        <v>76</v>
      </c>
      <c r="B159" s="34">
        <v>46295</v>
      </c>
    </row>
    <row r="160" spans="1:10">
      <c r="A160" s="35" t="s">
        <v>78</v>
      </c>
      <c r="B160" s="35" t="s">
        <v>634</v>
      </c>
    </row>
    <row r="161" spans="1:10">
      <c r="A161" s="35" t="s">
        <v>80</v>
      </c>
      <c r="B161" s="35" t="s">
        <v>635</v>
      </c>
    </row>
    <row r="162" spans="1:10">
      <c r="A162" s="35" t="s">
        <v>83</v>
      </c>
      <c r="B162" s="35">
        <v>12900</v>
      </c>
    </row>
    <row r="163" spans="1:10">
      <c r="A163" s="35" t="s">
        <v>85</v>
      </c>
      <c r="B163" s="35">
        <v>0.1</v>
      </c>
    </row>
    <row r="164" spans="1:10">
      <c r="A164" s="35" t="s">
        <v>87</v>
      </c>
      <c r="B164" s="35">
        <v>2400</v>
      </c>
    </row>
    <row r="165" spans="1:10">
      <c r="A165" s="35" t="s">
        <v>89</v>
      </c>
      <c r="B165" s="35">
        <v>2</v>
      </c>
    </row>
    <row r="166" spans="1:10">
      <c r="A166" s="35" t="s">
        <v>92</v>
      </c>
      <c r="B166" s="35">
        <v>14</v>
      </c>
    </row>
    <row r="167" spans="1:10">
      <c r="A167" s="35" t="s">
        <v>94</v>
      </c>
      <c r="B167" s="35">
        <v>7</v>
      </c>
    </row>
    <row r="168" spans="1:10">
      <c r="A168" s="35" t="s">
        <v>96</v>
      </c>
      <c r="B168" s="35">
        <v>7</v>
      </c>
    </row>
    <row r="169" spans="1:10">
      <c r="A169" s="35" t="s">
        <v>98</v>
      </c>
      <c r="B169" s="35">
        <v>60</v>
      </c>
    </row>
    <row r="170" spans="1:10">
      <c r="A170" s="35" t="s">
        <v>636</v>
      </c>
      <c r="B170" s="35" t="s">
        <v>637</v>
      </c>
    </row>
    <row r="172" spans="1:10">
      <c r="A172" s="41" t="s">
        <v>638</v>
      </c>
      <c r="B172" s="40"/>
      <c r="C172" s="40"/>
      <c r="D172" s="40"/>
      <c r="E172" s="40"/>
      <c r="F172" s="40"/>
      <c r="G172" s="40"/>
      <c r="H172" s="40"/>
      <c r="I172" s="40"/>
      <c r="J172" s="40"/>
    </row>
    <row r="173" spans="1:10">
      <c r="A173" s="9" t="s">
        <v>130</v>
      </c>
      <c r="B173" s="9" t="s">
        <v>118</v>
      </c>
      <c r="C173" s="9" t="s">
        <v>131</v>
      </c>
      <c r="D173" s="9" t="s">
        <v>132</v>
      </c>
      <c r="E173" s="9" t="s">
        <v>134</v>
      </c>
      <c r="F173" s="9" t="s">
        <v>135</v>
      </c>
    </row>
    <row r="174" spans="1:10">
      <c r="A174" s="35" t="s">
        <v>639</v>
      </c>
      <c r="B174" s="35" t="s">
        <v>208</v>
      </c>
      <c r="C174" s="35">
        <v>16</v>
      </c>
      <c r="D174" s="35">
        <v>17</v>
      </c>
      <c r="E174" s="35">
        <v>17</v>
      </c>
      <c r="F174" s="35" t="s">
        <v>640</v>
      </c>
    </row>
    <row r="175" spans="1:10">
      <c r="A175" s="35" t="s">
        <v>641</v>
      </c>
      <c r="B175" s="35" t="s">
        <v>208</v>
      </c>
      <c r="C175" s="35">
        <v>4</v>
      </c>
      <c r="D175" s="35">
        <v>4</v>
      </c>
      <c r="E175" s="35">
        <v>4</v>
      </c>
      <c r="F175" s="35" t="s">
        <v>642</v>
      </c>
    </row>
    <row r="176" spans="1:10">
      <c r="A176" s="35" t="s">
        <v>643</v>
      </c>
      <c r="B176" s="35" t="s">
        <v>182</v>
      </c>
      <c r="C176" s="35">
        <v>3</v>
      </c>
      <c r="D176" s="35">
        <v>3</v>
      </c>
      <c r="E176" s="35">
        <v>3</v>
      </c>
      <c r="F176" s="35" t="s">
        <v>644</v>
      </c>
    </row>
    <row r="177" spans="1:10">
      <c r="A177" s="35" t="s">
        <v>645</v>
      </c>
      <c r="B177" s="35" t="s">
        <v>183</v>
      </c>
      <c r="C177" s="35">
        <v>1</v>
      </c>
      <c r="D177" s="35">
        <v>1</v>
      </c>
      <c r="E177" s="35">
        <v>1</v>
      </c>
      <c r="F177" s="35" t="s">
        <v>646</v>
      </c>
    </row>
    <row r="179" spans="1:10">
      <c r="A179" s="41" t="s">
        <v>647</v>
      </c>
      <c r="B179" s="40"/>
      <c r="C179" s="40"/>
      <c r="D179" s="40"/>
      <c r="E179" s="40"/>
      <c r="F179" s="40"/>
      <c r="G179" s="40"/>
      <c r="H179" s="40"/>
      <c r="I179" s="40"/>
      <c r="J179" s="40"/>
    </row>
    <row r="180" spans="1:10" ht="32">
      <c r="A180" s="9" t="s">
        <v>161</v>
      </c>
      <c r="B180" s="9" t="s">
        <v>162</v>
      </c>
      <c r="C180" s="9" t="s">
        <v>163</v>
      </c>
      <c r="D180" s="9" t="s">
        <v>164</v>
      </c>
      <c r="E180" s="9" t="s">
        <v>165</v>
      </c>
      <c r="F180" s="9" t="s">
        <v>118</v>
      </c>
    </row>
    <row r="181" spans="1:10">
      <c r="A181" s="35" t="s">
        <v>166</v>
      </c>
      <c r="B181" s="35" t="s">
        <v>648</v>
      </c>
      <c r="C181" s="35">
        <v>2</v>
      </c>
      <c r="D181" s="35">
        <v>2</v>
      </c>
      <c r="E181" s="35" t="s">
        <v>649</v>
      </c>
      <c r="F181" s="35" t="s">
        <v>650</v>
      </c>
    </row>
    <row r="182" spans="1:10">
      <c r="A182" s="35" t="s">
        <v>167</v>
      </c>
      <c r="B182" s="35" t="s">
        <v>651</v>
      </c>
      <c r="C182" s="35">
        <v>1</v>
      </c>
      <c r="D182" s="35">
        <v>-1</v>
      </c>
      <c r="E182" s="35" t="s">
        <v>652</v>
      </c>
      <c r="F182" s="35" t="s">
        <v>650</v>
      </c>
    </row>
    <row r="183" spans="1:10">
      <c r="A183" s="35" t="s">
        <v>168</v>
      </c>
      <c r="B183" s="35" t="s">
        <v>653</v>
      </c>
      <c r="C183" s="35">
        <v>2</v>
      </c>
      <c r="D183" s="35">
        <v>2</v>
      </c>
      <c r="E183" s="35" t="s">
        <v>654</v>
      </c>
      <c r="F183" s="35" t="s">
        <v>650</v>
      </c>
    </row>
    <row r="184" spans="1:10">
      <c r="A184" s="35" t="s">
        <v>169</v>
      </c>
      <c r="B184" s="35" t="s">
        <v>655</v>
      </c>
      <c r="C184" s="35">
        <v>0</v>
      </c>
      <c r="D184" s="35">
        <v>0</v>
      </c>
      <c r="E184" s="35" t="s">
        <v>656</v>
      </c>
      <c r="F184" s="35" t="s">
        <v>657</v>
      </c>
    </row>
    <row r="185" spans="1:10">
      <c r="A185" s="35" t="s">
        <v>170</v>
      </c>
      <c r="B185" s="35" t="s">
        <v>658</v>
      </c>
      <c r="C185" s="35">
        <v>0</v>
      </c>
      <c r="D185" s="35">
        <v>0</v>
      </c>
      <c r="E185" s="35" t="s">
        <v>656</v>
      </c>
      <c r="F185" s="35" t="s">
        <v>657</v>
      </c>
    </row>
    <row r="186" spans="1:10">
      <c r="A186" s="35" t="s">
        <v>171</v>
      </c>
      <c r="B186" s="35" t="s">
        <v>659</v>
      </c>
      <c r="C186" s="35">
        <v>0</v>
      </c>
      <c r="D186" s="35">
        <v>0</v>
      </c>
      <c r="E186" s="35" t="s">
        <v>660</v>
      </c>
      <c r="F186" s="35" t="s">
        <v>657</v>
      </c>
    </row>
    <row r="187" spans="1:10">
      <c r="A187" s="35" t="s">
        <v>172</v>
      </c>
      <c r="B187" s="35" t="s">
        <v>661</v>
      </c>
      <c r="C187" s="35">
        <v>0</v>
      </c>
      <c r="D187" s="35">
        <v>0</v>
      </c>
      <c r="E187" s="35" t="s">
        <v>656</v>
      </c>
      <c r="F187" s="35" t="s">
        <v>657</v>
      </c>
    </row>
    <row r="189" spans="1:10">
      <c r="A189" s="41" t="s">
        <v>662</v>
      </c>
      <c r="B189" s="40"/>
      <c r="C189" s="40"/>
      <c r="D189" s="40"/>
      <c r="E189" s="40"/>
      <c r="F189" s="40"/>
      <c r="G189" s="40"/>
      <c r="H189" s="40"/>
      <c r="I189" s="40"/>
      <c r="J189" s="40"/>
    </row>
    <row r="190" spans="1:10">
      <c r="A190" s="9" t="s">
        <v>185</v>
      </c>
      <c r="B190" s="9" t="s">
        <v>186</v>
      </c>
    </row>
    <row r="191" spans="1:10">
      <c r="A191" s="35" t="s">
        <v>663</v>
      </c>
      <c r="B191" s="35">
        <v>2</v>
      </c>
    </row>
    <row r="192" spans="1:10">
      <c r="A192" s="35" t="s">
        <v>664</v>
      </c>
      <c r="B192" s="35">
        <v>1</v>
      </c>
    </row>
    <row r="193" spans="1:10">
      <c r="A193" s="35" t="s">
        <v>665</v>
      </c>
      <c r="B193" s="35">
        <v>1</v>
      </c>
    </row>
    <row r="194" spans="1:10">
      <c r="A194" s="35" t="s">
        <v>184</v>
      </c>
      <c r="B194" s="34">
        <v>46297</v>
      </c>
    </row>
    <row r="196" spans="1:10">
      <c r="A196" s="41" t="s">
        <v>666</v>
      </c>
      <c r="B196" s="40"/>
      <c r="C196" s="40"/>
      <c r="D196" s="40"/>
      <c r="E196" s="40"/>
      <c r="F196" s="40"/>
      <c r="G196" s="40"/>
      <c r="H196" s="40"/>
      <c r="I196" s="40"/>
      <c r="J196" s="40"/>
    </row>
    <row r="197" spans="1:10" ht="32">
      <c r="A197" s="9" t="s">
        <v>189</v>
      </c>
      <c r="B197" s="9" t="s">
        <v>124</v>
      </c>
      <c r="C197" s="9" t="s">
        <v>190</v>
      </c>
      <c r="D197" s="9" t="s">
        <v>667</v>
      </c>
      <c r="E197" s="9" t="s">
        <v>192</v>
      </c>
    </row>
    <row r="198" spans="1:10">
      <c r="A198" s="35" t="s">
        <v>147</v>
      </c>
      <c r="B198" s="35">
        <v>24</v>
      </c>
      <c r="C198" s="35"/>
      <c r="D198" s="35"/>
      <c r="E198" s="35">
        <v>6300</v>
      </c>
    </row>
    <row r="199" spans="1:10">
      <c r="A199" s="35" t="s">
        <v>544</v>
      </c>
      <c r="B199" s="35">
        <v>36</v>
      </c>
      <c r="C199" s="35">
        <v>6200</v>
      </c>
      <c r="D199" s="35">
        <v>9000</v>
      </c>
      <c r="E199" s="35"/>
    </row>
    <row r="200" spans="1:10">
      <c r="A200" s="35" t="s">
        <v>585</v>
      </c>
      <c r="B200" s="35">
        <v>60</v>
      </c>
      <c r="C200" s="35">
        <v>6500</v>
      </c>
      <c r="D200" s="35">
        <v>15000</v>
      </c>
      <c r="E200" s="35"/>
    </row>
    <row r="201" spans="1:10">
      <c r="A201" s="35" t="s">
        <v>200</v>
      </c>
      <c r="B201" s="35" t="s">
        <v>668</v>
      </c>
      <c r="C201" s="35"/>
      <c r="D201" s="35"/>
      <c r="E201" s="35"/>
    </row>
    <row r="203" spans="1:10">
      <c r="A203" s="41" t="s">
        <v>669</v>
      </c>
      <c r="B203" s="40"/>
      <c r="C203" s="40"/>
      <c r="D203" s="40"/>
      <c r="E203" s="40"/>
      <c r="F203" s="40"/>
      <c r="G203" s="40"/>
      <c r="H203" s="40"/>
      <c r="I203" s="40"/>
      <c r="J203" s="40"/>
    </row>
    <row r="204" spans="1:10">
      <c r="A204" s="9" t="s">
        <v>248</v>
      </c>
      <c r="B204" s="9" t="s">
        <v>249</v>
      </c>
      <c r="C204" s="9" t="s">
        <v>250</v>
      </c>
      <c r="D204" s="9" t="s">
        <v>251</v>
      </c>
    </row>
    <row r="205" spans="1:10">
      <c r="A205" s="35" t="s">
        <v>670</v>
      </c>
      <c r="B205" s="34">
        <v>46204</v>
      </c>
      <c r="C205" s="34">
        <v>46295</v>
      </c>
      <c r="D205" s="35" t="s">
        <v>671</v>
      </c>
    </row>
    <row r="206" spans="1:10">
      <c r="A206" s="35" t="s">
        <v>672</v>
      </c>
      <c r="B206" s="34">
        <v>46268</v>
      </c>
      <c r="C206" s="34">
        <v>46295</v>
      </c>
      <c r="D206" s="35" t="s">
        <v>673</v>
      </c>
    </row>
    <row r="207" spans="1:10">
      <c r="A207" s="35" t="s">
        <v>268</v>
      </c>
      <c r="B207" s="34">
        <v>46235</v>
      </c>
      <c r="C207" s="34">
        <v>46241</v>
      </c>
      <c r="D207" s="35" t="s">
        <v>674</v>
      </c>
    </row>
    <row r="209" spans="1:10">
      <c r="A209" s="41" t="s">
        <v>675</v>
      </c>
      <c r="B209" s="40"/>
      <c r="C209" s="40"/>
      <c r="D209" s="40"/>
      <c r="E209" s="40"/>
      <c r="F209" s="40"/>
      <c r="G209" s="40"/>
      <c r="H209" s="40"/>
      <c r="I209" s="40"/>
      <c r="J209" s="40"/>
    </row>
    <row r="210" spans="1:10">
      <c r="A210" s="9" t="s">
        <v>272</v>
      </c>
      <c r="B210" s="9" t="s">
        <v>273</v>
      </c>
      <c r="C210" s="9" t="s">
        <v>274</v>
      </c>
      <c r="D210" s="9" t="s">
        <v>275</v>
      </c>
      <c r="E210" s="9" t="s">
        <v>276</v>
      </c>
      <c r="F210" s="9" t="s">
        <v>277</v>
      </c>
      <c r="G210" s="9" t="s">
        <v>278</v>
      </c>
      <c r="H210" s="9" t="s">
        <v>279</v>
      </c>
      <c r="I210" s="9" t="s">
        <v>280</v>
      </c>
      <c r="J210" s="9" t="s">
        <v>135</v>
      </c>
    </row>
    <row r="211" spans="1:10">
      <c r="A211" s="35" t="s">
        <v>544</v>
      </c>
      <c r="B211" s="34">
        <v>46197</v>
      </c>
      <c r="C211" s="35">
        <v>232200</v>
      </c>
      <c r="D211" s="35">
        <v>36</v>
      </c>
      <c r="E211" s="34">
        <v>46201</v>
      </c>
      <c r="F211" s="34">
        <v>46211</v>
      </c>
      <c r="G211" s="34">
        <v>46211</v>
      </c>
      <c r="H211" s="35">
        <v>36</v>
      </c>
      <c r="I211" s="35">
        <v>2</v>
      </c>
      <c r="J211" s="35" t="s">
        <v>676</v>
      </c>
    </row>
    <row r="212" spans="1:10">
      <c r="A212" s="35" t="s">
        <v>585</v>
      </c>
      <c r="B212" s="34">
        <v>46237</v>
      </c>
      <c r="C212" s="35">
        <v>405000</v>
      </c>
      <c r="D212" s="35">
        <v>60</v>
      </c>
      <c r="E212" s="34">
        <v>46244</v>
      </c>
      <c r="F212" s="34">
        <v>46253</v>
      </c>
      <c r="G212" s="34">
        <v>46254</v>
      </c>
      <c r="H212" s="35">
        <v>60</v>
      </c>
      <c r="I212" s="35">
        <v>1</v>
      </c>
      <c r="J212" s="35" t="s">
        <v>677</v>
      </c>
    </row>
    <row r="213" spans="1:10">
      <c r="A213" s="35" t="s">
        <v>678</v>
      </c>
      <c r="B213" s="34">
        <v>46293</v>
      </c>
      <c r="C213" s="35">
        <v>243000</v>
      </c>
      <c r="D213" s="35">
        <v>36</v>
      </c>
      <c r="E213" s="35"/>
      <c r="F213" s="35"/>
      <c r="G213" s="35"/>
      <c r="H213" s="35"/>
      <c r="I213" s="35"/>
      <c r="J213" s="35" t="s">
        <v>679</v>
      </c>
    </row>
    <row r="215" spans="1:10">
      <c r="A215" s="41" t="s">
        <v>680</v>
      </c>
      <c r="B215" s="40"/>
      <c r="C215" s="40"/>
      <c r="D215" s="40"/>
      <c r="E215" s="40"/>
      <c r="F215" s="40"/>
      <c r="G215" s="40"/>
      <c r="H215" s="40"/>
      <c r="I215" s="40"/>
      <c r="J215" s="40"/>
    </row>
    <row r="216" spans="1:10">
      <c r="A216" s="9" t="s">
        <v>142</v>
      </c>
      <c r="B216" s="9" t="s">
        <v>681</v>
      </c>
      <c r="C216" s="9" t="s">
        <v>682</v>
      </c>
      <c r="D216" s="9" t="s">
        <v>683</v>
      </c>
    </row>
    <row r="217" spans="1:10">
      <c r="A217" s="35" t="s">
        <v>322</v>
      </c>
      <c r="B217" s="34">
        <v>46296</v>
      </c>
      <c r="C217" s="35"/>
      <c r="D217" s="35"/>
    </row>
    <row r="218" spans="1:10">
      <c r="A218" s="35" t="s">
        <v>332</v>
      </c>
      <c r="B218" s="35" t="s">
        <v>684</v>
      </c>
      <c r="C218" s="35" t="s">
        <v>685</v>
      </c>
      <c r="D218" s="35" t="s">
        <v>686</v>
      </c>
    </row>
    <row r="219" spans="1:10">
      <c r="A219" s="35" t="s">
        <v>333</v>
      </c>
      <c r="B219" s="35">
        <v>0</v>
      </c>
      <c r="C219" s="35">
        <v>2</v>
      </c>
      <c r="D219" s="35">
        <v>5</v>
      </c>
    </row>
    <row r="220" spans="1:10">
      <c r="A220" s="35" t="s">
        <v>190</v>
      </c>
      <c r="B220" s="35"/>
      <c r="C220" s="35">
        <v>6500</v>
      </c>
      <c r="D220" s="35">
        <v>6200</v>
      </c>
    </row>
    <row r="221" spans="1:10">
      <c r="A221" s="35" t="s">
        <v>335</v>
      </c>
      <c r="B221" s="35"/>
      <c r="C221" s="35">
        <v>3000</v>
      </c>
      <c r="D221" s="35">
        <v>3000</v>
      </c>
    </row>
    <row r="222" spans="1:10">
      <c r="A222" s="35" t="s">
        <v>358</v>
      </c>
      <c r="B222" s="35" t="s">
        <v>687</v>
      </c>
      <c r="C222" s="35" t="s">
        <v>688</v>
      </c>
      <c r="D222" s="35" t="s">
        <v>689</v>
      </c>
    </row>
    <row r="223" spans="1:10">
      <c r="A223" s="35" t="s">
        <v>359</v>
      </c>
      <c r="B223" s="35" t="s">
        <v>690</v>
      </c>
      <c r="C223" s="35" t="s">
        <v>691</v>
      </c>
      <c r="D223" s="35" t="s">
        <v>692</v>
      </c>
    </row>
    <row r="225" spans="1:10">
      <c r="A225" s="41" t="s">
        <v>693</v>
      </c>
      <c r="B225" s="40"/>
      <c r="C225" s="40"/>
      <c r="D225" s="40"/>
      <c r="E225" s="40"/>
      <c r="F225" s="40"/>
      <c r="G225" s="40"/>
      <c r="H225" s="40"/>
      <c r="I225" s="40"/>
      <c r="J225" s="40"/>
    </row>
    <row r="226" spans="1:10">
      <c r="A226" s="9" t="s">
        <v>142</v>
      </c>
      <c r="B226" s="9" t="s">
        <v>436</v>
      </c>
    </row>
    <row r="227" spans="1:10">
      <c r="A227" s="35" t="s">
        <v>56</v>
      </c>
      <c r="B227" s="35" t="s">
        <v>694</v>
      </c>
    </row>
    <row r="228" spans="1:10">
      <c r="A228" s="35" t="s">
        <v>363</v>
      </c>
      <c r="B228" s="35">
        <v>38</v>
      </c>
    </row>
    <row r="229" spans="1:10">
      <c r="A229" s="35" t="s">
        <v>339</v>
      </c>
      <c r="B229" s="35">
        <v>4200</v>
      </c>
    </row>
    <row r="230" spans="1:10">
      <c r="A230" s="35" t="s">
        <v>365</v>
      </c>
      <c r="B230" s="34">
        <v>46229</v>
      </c>
    </row>
    <row r="231" spans="1:10">
      <c r="A231" s="35" t="s">
        <v>367</v>
      </c>
      <c r="B231" s="35">
        <v>90</v>
      </c>
    </row>
    <row r="232" spans="1:10">
      <c r="A232" s="35" t="s">
        <v>369</v>
      </c>
      <c r="B232" s="35">
        <v>7</v>
      </c>
    </row>
    <row r="233" spans="1:10">
      <c r="A233" s="35" t="s">
        <v>83</v>
      </c>
      <c r="B233" s="35">
        <v>9900</v>
      </c>
    </row>
    <row r="234" spans="1:10">
      <c r="A234" s="35" t="s">
        <v>85</v>
      </c>
      <c r="B234" s="35">
        <v>0.1</v>
      </c>
    </row>
    <row r="235" spans="1:10">
      <c r="A235" s="35" t="s">
        <v>87</v>
      </c>
      <c r="B235" s="35">
        <v>2400</v>
      </c>
    </row>
    <row r="236" spans="1:10">
      <c r="A236" s="35" t="s">
        <v>695</v>
      </c>
      <c r="B236" s="35">
        <v>60</v>
      </c>
    </row>
    <row r="237" spans="1:10">
      <c r="A237" s="35" t="s">
        <v>696</v>
      </c>
      <c r="B237" s="35">
        <v>90</v>
      </c>
    </row>
    <row r="238" spans="1:10">
      <c r="A238" s="35" t="s">
        <v>401</v>
      </c>
      <c r="B238" s="35" t="s">
        <v>697</v>
      </c>
    </row>
    <row r="239" spans="1:10">
      <c r="A239" s="35" t="s">
        <v>402</v>
      </c>
      <c r="B239" s="35">
        <v>14</v>
      </c>
    </row>
    <row r="240" spans="1:10">
      <c r="A240" s="35" t="s">
        <v>698</v>
      </c>
      <c r="B240" s="35" t="s">
        <v>699</v>
      </c>
    </row>
    <row r="241" spans="1:10">
      <c r="A241" s="35" t="s">
        <v>406</v>
      </c>
      <c r="B241" s="35" t="s">
        <v>700</v>
      </c>
    </row>
    <row r="242" spans="1:10">
      <c r="A242" s="35" t="s">
        <v>407</v>
      </c>
      <c r="B242" s="34">
        <v>46311</v>
      </c>
    </row>
    <row r="244" spans="1:10">
      <c r="A244" s="41" t="s">
        <v>701</v>
      </c>
      <c r="B244" s="40"/>
      <c r="C244" s="40"/>
      <c r="D244" s="40"/>
      <c r="E244" s="40"/>
      <c r="F244" s="40"/>
      <c r="G244" s="40"/>
      <c r="H244" s="40"/>
      <c r="I244" s="40"/>
      <c r="J244" s="40"/>
    </row>
    <row r="245" spans="1:10">
      <c r="A245" s="9" t="s">
        <v>389</v>
      </c>
      <c r="B245" s="9" t="s">
        <v>390</v>
      </c>
      <c r="C245" s="9" t="s">
        <v>391</v>
      </c>
      <c r="D245" s="9" t="s">
        <v>398</v>
      </c>
    </row>
    <row r="246" spans="1:10">
      <c r="A246" s="35" t="s">
        <v>702</v>
      </c>
      <c r="B246" s="35">
        <v>9900</v>
      </c>
      <c r="C246" s="35">
        <v>1</v>
      </c>
      <c r="D246" s="35" t="s">
        <v>703</v>
      </c>
    </row>
    <row r="247" spans="1:10">
      <c r="A247" s="35" t="s">
        <v>697</v>
      </c>
      <c r="B247" s="35">
        <v>7920</v>
      </c>
      <c r="C247" s="35">
        <v>1</v>
      </c>
      <c r="D247" s="35" t="s">
        <v>703</v>
      </c>
    </row>
    <row r="248" spans="1:10">
      <c r="A248" s="35" t="s">
        <v>704</v>
      </c>
      <c r="B248" s="35">
        <v>6930</v>
      </c>
      <c r="C248" s="35">
        <v>1</v>
      </c>
      <c r="D248" s="35" t="s">
        <v>703</v>
      </c>
    </row>
    <row r="249" spans="1:10">
      <c r="A249" s="35" t="s">
        <v>705</v>
      </c>
      <c r="B249" s="35">
        <v>15800</v>
      </c>
      <c r="C249" s="35">
        <v>2</v>
      </c>
      <c r="D249" s="35" t="s">
        <v>703</v>
      </c>
    </row>
  </sheetData>
  <mergeCells count="128">
    <mergeCell ref="A1:J1"/>
    <mergeCell ref="D22:J22"/>
    <mergeCell ref="D36:J36"/>
    <mergeCell ref="B10:C10"/>
    <mergeCell ref="D6:J6"/>
    <mergeCell ref="D13:J13"/>
    <mergeCell ref="A37"/>
    <mergeCell ref="A12"/>
    <mergeCell ref="A21"/>
    <mergeCell ref="B36:C36"/>
    <mergeCell ref="A14"/>
    <mergeCell ref="A23"/>
    <mergeCell ref="A203:J203"/>
    <mergeCell ref="A8"/>
    <mergeCell ref="A17"/>
    <mergeCell ref="D18:J18"/>
    <mergeCell ref="A244:J244"/>
    <mergeCell ref="A126:J126"/>
    <mergeCell ref="D8:J8"/>
    <mergeCell ref="A10"/>
    <mergeCell ref="D42:J42"/>
    <mergeCell ref="A19"/>
    <mergeCell ref="B39:C39"/>
    <mergeCell ref="A34"/>
    <mergeCell ref="A9"/>
    <mergeCell ref="A39"/>
    <mergeCell ref="D20:J20"/>
    <mergeCell ref="B23:C23"/>
    <mergeCell ref="D34:J34"/>
    <mergeCell ref="A36"/>
    <mergeCell ref="B8:C8"/>
    <mergeCell ref="A11"/>
    <mergeCell ref="A179:J179"/>
    <mergeCell ref="A215:J215"/>
    <mergeCell ref="D30:J30"/>
    <mergeCell ref="A28"/>
    <mergeCell ref="D5:J5"/>
    <mergeCell ref="D14:J14"/>
    <mergeCell ref="A30"/>
    <mergeCell ref="B42:C42"/>
    <mergeCell ref="B17:C17"/>
    <mergeCell ref="A225:J225"/>
    <mergeCell ref="D31:J31"/>
    <mergeCell ref="D40:J40"/>
    <mergeCell ref="B19:C19"/>
    <mergeCell ref="B34:C34"/>
    <mergeCell ref="D21:J21"/>
    <mergeCell ref="B28:C28"/>
    <mergeCell ref="B9:C9"/>
    <mergeCell ref="A41"/>
    <mergeCell ref="D32:J32"/>
    <mergeCell ref="B30:C30"/>
    <mergeCell ref="D41:J41"/>
    <mergeCell ref="A26"/>
    <mergeCell ref="B5:C5"/>
    <mergeCell ref="B20:C20"/>
    <mergeCell ref="D7:J7"/>
    <mergeCell ref="A18"/>
    <mergeCell ref="D17:J17"/>
    <mergeCell ref="A189:J189"/>
    <mergeCell ref="A42"/>
    <mergeCell ref="A2:J2"/>
    <mergeCell ref="D28:J28"/>
    <mergeCell ref="A22"/>
    <mergeCell ref="A35"/>
    <mergeCell ref="B7:C7"/>
    <mergeCell ref="D12:J12"/>
    <mergeCell ref="D25:J25"/>
    <mergeCell ref="A20"/>
    <mergeCell ref="D16:J16"/>
    <mergeCell ref="A33"/>
    <mergeCell ref="A4:J4"/>
    <mergeCell ref="A209:J209"/>
    <mergeCell ref="D15:J15"/>
    <mergeCell ref="A13"/>
    <mergeCell ref="B18:C18"/>
    <mergeCell ref="B27:C27"/>
    <mergeCell ref="D29:J29"/>
    <mergeCell ref="A147:J147"/>
    <mergeCell ref="D23:J23"/>
    <mergeCell ref="D38:J38"/>
    <mergeCell ref="A44:J44"/>
    <mergeCell ref="A31"/>
    <mergeCell ref="A40"/>
    <mergeCell ref="B11:C11"/>
    <mergeCell ref="A15"/>
    <mergeCell ref="A24"/>
    <mergeCell ref="B29:C29"/>
    <mergeCell ref="B37:C37"/>
    <mergeCell ref="A7"/>
    <mergeCell ref="A16"/>
    <mergeCell ref="A172:J172"/>
    <mergeCell ref="D27:J27"/>
    <mergeCell ref="A27"/>
    <mergeCell ref="B6:C6"/>
    <mergeCell ref="D10:J10"/>
    <mergeCell ref="D19:J19"/>
    <mergeCell ref="B13:C13"/>
    <mergeCell ref="A6"/>
    <mergeCell ref="B38:C38"/>
    <mergeCell ref="A25"/>
    <mergeCell ref="A196:J196"/>
    <mergeCell ref="B40:C40"/>
    <mergeCell ref="D11:J11"/>
    <mergeCell ref="B24:C24"/>
    <mergeCell ref="B33:C33"/>
    <mergeCell ref="B32:C32"/>
    <mergeCell ref="B26:C26"/>
    <mergeCell ref="B41:C41"/>
    <mergeCell ref="B35:C35"/>
    <mergeCell ref="D37:J37"/>
    <mergeCell ref="A32"/>
    <mergeCell ref="B16:C16"/>
    <mergeCell ref="B25:C25"/>
    <mergeCell ref="D9:J9"/>
    <mergeCell ref="A29"/>
    <mergeCell ref="D39:J39"/>
    <mergeCell ref="A38"/>
    <mergeCell ref="B15:C15"/>
    <mergeCell ref="B22:C22"/>
    <mergeCell ref="D24:J24"/>
    <mergeCell ref="B31:C31"/>
    <mergeCell ref="D33:J33"/>
    <mergeCell ref="B12:C12"/>
    <mergeCell ref="B21:C21"/>
    <mergeCell ref="D26:J26"/>
    <mergeCell ref="D35:J35"/>
    <mergeCell ref="B14:C14"/>
  </mergeCells>
  <phoneticPr fontId="11" type="noConversion"/>
  <pageMargins left="0.75" right="0.75" top="1" bottom="1" header="0.5" footer="0.5"/>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워크시트</vt:lpstr>
      </vt:variant>
      <vt:variant>
        <vt:i4>10</vt:i4>
      </vt:variant>
    </vt:vector>
  </HeadingPairs>
  <TitlesOfParts>
    <vt:vector size="10" baseType="lpstr">
      <vt:lpstr>사용안내</vt:lpstr>
      <vt:lpstr>상품·기준</vt:lpstr>
      <vt:lpstr>입출고기록</vt:lpstr>
      <vt:lpstr>재고점검</vt:lpstr>
      <vt:lpstr>판매속도</vt:lpstr>
      <vt:lpstr>입고예정</vt:lpstr>
      <vt:lpstr>주문비교</vt:lpstr>
      <vt:lpstr>장기재고</vt:lpstr>
      <vt:lpstr>실행기록</vt:lpstr>
      <vt:lpstr>작성완료예시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이 재고, 더 사도 될까 — 기록·계산 도구</dc:title>
  <dc:creator>전호재 / GAON-LAB</dc:creator>
  <dc:description>가상 사례(윤서)의 작성완료예시 시트 포함. 매크로·외부 연결 없음.</dc:description>
  <cp:lastModifiedBy>전호재 / GAON-LAB</cp:lastModifiedBy>
  <dcterms:created xsi:type="dcterms:W3CDTF">2026-10-23T18:50:20Z</dcterms:created>
  <dcterms:modified xsi:type="dcterms:W3CDTF">2026-10-23T18:51:54Z</dcterms:modified>
</cp:coreProperties>
</file>